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M05zLDmulJakyUlHTdWaS6ljZnszBrWIXJipyLycmruKCuX2ICpgEHhfKdfIPjxWL6be4CzQwEgB6AT+VpMePA==" workbookSaltValue="l10IxtaIl5QzfpTJ/Uw3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T13" i="12"/>
  <c r="T13" i="20"/>
  <c r="T13" i="16"/>
  <c r="AP13" i="16"/>
  <c r="T18" i="17"/>
  <c r="BG15" i="13"/>
  <c r="G18" i="14"/>
  <c r="AO20" i="20"/>
  <c r="AN20" i="20"/>
  <c r="H20" i="20"/>
  <c r="AM20" i="20"/>
  <c r="E20" i="20"/>
  <c r="I20" i="20"/>
  <c r="K20" i="20"/>
  <c r="P20" i="20"/>
  <c r="N20" i="20"/>
  <c r="AQ20" i="20"/>
  <c r="U12" i="11"/>
  <c r="W20" i="20"/>
  <c r="AK20" i="20"/>
  <c r="L20" i="20"/>
  <c r="AQ20" i="21"/>
  <c r="U16" i="11"/>
  <c r="AU20" i="20"/>
  <c r="X20" i="20"/>
  <c r="AH20" i="20"/>
  <c r="AI20" i="20"/>
  <c r="AF20" i="20"/>
  <c r="AX20" i="20"/>
  <c r="AZ20" i="20"/>
  <c r="AG20" i="20"/>
  <c r="AC20" i="20"/>
  <c r="Q20" i="20"/>
  <c r="U10" i="11"/>
  <c r="Z20" i="20"/>
  <c r="AA20" i="20"/>
  <c r="M20" i="20"/>
  <c r="F20" i="20"/>
  <c r="O20" i="20"/>
  <c r="W20" i="21"/>
  <c r="AK19" i="8" l="1"/>
  <c r="G17" i="3"/>
  <c r="AM19" i="8"/>
  <c r="AC19" i="8"/>
  <c r="AA19" i="8"/>
  <c r="AI19" i="8"/>
  <c r="D18" i="12"/>
  <c r="D13" i="7"/>
  <c r="R19" i="8"/>
  <c r="BG12" i="8"/>
  <c r="C12" i="14"/>
  <c r="K12" i="14" s="1"/>
  <c r="S13" i="12"/>
  <c r="T19" i="8"/>
  <c r="I10" i="3"/>
  <c r="H9" i="7"/>
  <c r="F17" i="17"/>
  <c r="AQ17" i="17" s="1"/>
  <c r="F15" i="16"/>
  <c r="BL15" i="16" s="1"/>
  <c r="BA18" i="13"/>
  <c r="F17" i="16"/>
  <c r="BL17" i="16" s="1"/>
  <c r="BG16" i="13"/>
  <c r="BD16" i="13"/>
  <c r="BE15" i="13"/>
  <c r="BE16" i="13"/>
  <c r="E12" i="6"/>
  <c r="BG9" i="8"/>
  <c r="BE9" i="8"/>
  <c r="BE12" i="8"/>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12" l="1"/>
  <c r="I11" i="12"/>
  <c r="AO9" i="17"/>
  <c r="V15" i="20"/>
  <c r="V18" i="20" s="1"/>
  <c r="AA12" i="21"/>
  <c r="T17" i="20"/>
  <c r="S11" i="14"/>
  <c r="V11" i="14" s="1"/>
  <c r="S12" i="14"/>
  <c r="V12" i="14" s="1"/>
  <c r="L10" i="2"/>
  <c r="S11" i="17"/>
  <c r="AQ13" i="21"/>
  <c r="S15" i="14"/>
  <c r="V15" i="14" s="1"/>
  <c r="L12" i="2"/>
  <c r="AQ12" i="21"/>
  <c r="Q15" i="17"/>
  <c r="AQ10" i="21"/>
  <c r="BG12" i="11"/>
  <c r="AA16" i="16"/>
  <c r="U10" i="17"/>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W21" i="20"/>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Q12" i="11" l="1"/>
  <c r="K16" i="7"/>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<sst xmlns="http://schemas.openxmlformats.org/spreadsheetml/2006/main" count="2094" uniqueCount="913">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</sst>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tGTj6QLN3+isjo33+SX9O7CVIg2g+rxHSk13jFyGLDIVyYtk7BKZbh+srpKZ6BCC7g95mxexJf7xgWSA1pfOg==" saltValue="KCcwpb+y5DGRU1SOu/hF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24.505555555555556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277</v>
      </c>
      <c r="D16" s="228">
        <f>IF(ISNUMBER(IF(D_I="SI",Datos!I16,Datos!I16+Datos!AC16)),IF(D_I="SI",Datos!I16,Datos!I16+Datos!AC16)," - ")</f>
        <v>267</v>
      </c>
      <c r="E16" s="229">
        <f>IF(ISNUMBER(IF(D_I="SI",Datos!J16,Datos!J16+Datos!AD16)),IF(D_I="SI",Datos!J16,Datos!J16+Datos!AD16)," - ")</f>
        <v>174</v>
      </c>
      <c r="F16" s="229">
        <f>IF(ISNUMBER(IF(D_I="SI",Datos!K16,Datos!K16+Datos!AE16)),IF(D_I="SI",Datos!K16,Datos!K16+Datos!AE16)," - ")</f>
        <v>182</v>
      </c>
      <c r="G16" s="1037" t="str">
        <f>IF(Datos!E16&lt;&gt;"",Datos!E16,Datos!D16)</f>
        <v>04</v>
      </c>
      <c r="H16" s="230">
        <f>IF(ISNUMBER(IF(D_I="SI",Datos!L16,Datos!L16+Datos!AF16)),IF(D_I="SI",Datos!L16,Datos!L16+Datos!AF16)," - ")</f>
        <v>269</v>
      </c>
      <c r="I16" s="1047" t="str">
        <f>IF(ISNUMBER(Datos!AS16/Datos!BM16),Datos!AS16/Datos!BM16," - ")</f>
        <v xml:space="preserve"> - </v>
      </c>
      <c r="J16" s="1048">
        <f>IF(ISNUMBER(Datos!BY16/Datos!CN16),Datos!BY16/Datos!CN16," - ")</f>
        <v>0</v>
      </c>
      <c r="K16" s="233">
        <f t="shared" si="3"/>
        <v>-2.8880866425992781E-2</v>
      </c>
      <c r="L16" s="1028">
        <f>IF(ISNUMBER(NºAsuntos!I16/NºAsuntos!G16),(NºAsuntos!I16/NºAsuntos!G16)*11," - ")</f>
        <v>16.258241758241759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3</v>
      </c>
      <c r="F17" s="229">
        <f>IF(ISNUMBER(IF(D_I="SI",Datos!K17,Datos!K17+Datos!AE17)),IF(D_I="SI",Datos!K17,Datos!K17+Datos!AE17)," - ")</f>
        <v>3</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25.666666666666668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284</v>
      </c>
      <c r="D18" s="1052">
        <f>SUBTOTAL(9,D15:D17)</f>
        <v>274</v>
      </c>
      <c r="E18" s="1053">
        <f>SUBTOTAL(9,E15:E17)</f>
        <v>177</v>
      </c>
      <c r="F18" s="1053">
        <f>SUBTOTAL(9,F15:F17)</f>
        <v>185</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284</v>
      </c>
      <c r="D19" s="1074">
        <f>SUBTOTAL(9,D9:D18)</f>
        <v>274</v>
      </c>
      <c r="E19" s="1075">
        <f>SUBTOTAL(9,E9:E18)</f>
        <v>177</v>
      </c>
      <c r="F19" s="1075">
        <f>SUBTOTAL(9,F9:F18)</f>
        <v>185</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wGuEZjFVdO71x5DlQu7vEZfL9YqkBiwbfszVlCJzn7rYmTsINiiyc98+3XhXL/vA2eFgtOhjjCvSJLGGHSteQ==" saltValue="4loMbGy6WCttdWeBYSpIX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M/op63hlf5hoANyG+jtUR+PzBdBUoZBwqBfY+Zx1+2FS0yyjQXP2OB+hYGkdYWI+8rmm1FiALD//l/VKUB+QQ==" saltValue="iiv8OZmZucz31LmZR70J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6</v>
      </c>
      <c r="T10" s="184">
        <v>1</v>
      </c>
      <c r="U10" s="184">
        <v>1</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1</v>
      </c>
      <c r="BA10" s="129">
        <f t="shared" si="0"/>
        <v>1</v>
      </c>
      <c r="BB10" s="129">
        <f t="shared" si="0"/>
        <v>6</v>
      </c>
      <c r="BC10" s="125">
        <f t="shared" si="0"/>
        <v>0</v>
      </c>
      <c r="BD10" s="126">
        <f>IF(ISNUMBER(BA10/AZ10),BA10/AZ10," - ")</f>
        <v>1</v>
      </c>
      <c r="BE10" s="127">
        <f>IF(ISNUMBER(BB10/BA10),BB10/BA10, " - ")</f>
        <v>6</v>
      </c>
      <c r="BF10" s="127">
        <f>IF(ISNUMBER(BC10/BA10),BC10/BA10, " - ")</f>
        <v>0</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361</v>
      </c>
      <c r="J12" s="186">
        <v>202</v>
      </c>
      <c r="K12" s="186">
        <v>174</v>
      </c>
      <c r="L12" s="186">
        <v>389</v>
      </c>
      <c r="M12" s="186">
        <v>45</v>
      </c>
      <c r="N12" s="186">
        <v>36</v>
      </c>
      <c r="O12" s="184">
        <v>98</v>
      </c>
      <c r="P12" s="186">
        <v>44</v>
      </c>
      <c r="Q12" s="186">
        <v>9</v>
      </c>
      <c r="R12" s="186">
        <v>767</v>
      </c>
      <c r="S12" s="186">
        <v>355</v>
      </c>
      <c r="T12" s="186">
        <v>138</v>
      </c>
      <c r="U12" s="186">
        <v>183</v>
      </c>
      <c r="V12" s="186">
        <v>310</v>
      </c>
      <c r="W12" s="186">
        <v>34</v>
      </c>
      <c r="X12" s="192">
        <v>65</v>
      </c>
      <c r="Y12" s="194">
        <v>7</v>
      </c>
      <c r="Z12" s="184">
        <v>11</v>
      </c>
      <c r="AA12" s="184">
        <v>6</v>
      </c>
      <c r="AB12" s="184">
        <v>12</v>
      </c>
      <c r="AC12" s="186">
        <v>0</v>
      </c>
      <c r="AD12" s="186">
        <v>0</v>
      </c>
      <c r="AE12" s="186">
        <v>0</v>
      </c>
      <c r="AF12" s="192">
        <v>0</v>
      </c>
      <c r="AG12" s="205">
        <v>9</v>
      </c>
      <c r="AH12" s="186">
        <v>9</v>
      </c>
      <c r="AI12" s="186">
        <v>10</v>
      </c>
      <c r="AJ12" s="206">
        <v>8</v>
      </c>
      <c r="AK12" s="185">
        <v>0</v>
      </c>
      <c r="AL12" s="186">
        <v>0</v>
      </c>
      <c r="AM12" s="186">
        <v>0</v>
      </c>
      <c r="AN12" s="192">
        <v>0</v>
      </c>
      <c r="AO12" s="262">
        <v>1</v>
      </c>
      <c r="AP12" s="158">
        <v>1</v>
      </c>
      <c r="AQ12" s="158">
        <v>1</v>
      </c>
      <c r="AR12" s="157">
        <v>1</v>
      </c>
      <c r="AS12" s="343" t="s">
        <v>807</v>
      </c>
      <c r="AT12" s="206"/>
      <c r="AU12" s="205"/>
      <c r="AV12" s="206"/>
      <c r="AW12" s="205"/>
      <c r="AX12" s="206"/>
      <c r="AY12" s="126">
        <f t="shared" si="1"/>
        <v>364</v>
      </c>
      <c r="AZ12" s="127">
        <f t="shared" si="1"/>
        <v>147</v>
      </c>
      <c r="BA12" s="127">
        <f t="shared" si="1"/>
        <v>193</v>
      </c>
      <c r="BB12" s="127">
        <f t="shared" si="1"/>
        <v>318</v>
      </c>
      <c r="BC12" s="125">
        <f>IF(ISNUMBER(X12),X12," - ")</f>
        <v>65</v>
      </c>
      <c r="BD12" s="126">
        <f t="shared" si="2"/>
        <v>1.3129251700680271</v>
      </c>
      <c r="BE12" s="127">
        <f t="shared" si="3"/>
        <v>1.6476683937823835</v>
      </c>
      <c r="BF12" s="127">
        <f t="shared" si="4"/>
        <v>0.33678756476683935</v>
      </c>
      <c r="BG12" s="199">
        <f t="shared" si="5"/>
        <v>2.6476683937823835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361</v>
      </c>
      <c r="J13" s="187">
        <f t="shared" si="6"/>
        <v>202</v>
      </c>
      <c r="K13" s="187">
        <f t="shared" si="6"/>
        <v>174</v>
      </c>
      <c r="L13" s="187">
        <f t="shared" si="6"/>
        <v>389</v>
      </c>
      <c r="M13" s="187">
        <f t="shared" si="6"/>
        <v>45</v>
      </c>
      <c r="N13" s="187">
        <f t="shared" si="6"/>
        <v>36</v>
      </c>
      <c r="O13" s="187">
        <f t="shared" si="6"/>
        <v>98</v>
      </c>
      <c r="P13" s="187">
        <f t="shared" si="6"/>
        <v>44</v>
      </c>
      <c r="Q13" s="187">
        <f t="shared" si="6"/>
        <v>9</v>
      </c>
      <c r="R13" s="187">
        <f t="shared" si="6"/>
        <v>767</v>
      </c>
      <c r="S13" s="187">
        <f t="shared" si="6"/>
        <v>361</v>
      </c>
      <c r="T13" s="187">
        <f t="shared" si="6"/>
        <v>139</v>
      </c>
      <c r="U13" s="187">
        <f t="shared" si="6"/>
        <v>184</v>
      </c>
      <c r="V13" s="187">
        <f t="shared" si="6"/>
        <v>316</v>
      </c>
      <c r="W13" s="187">
        <f t="shared" si="6"/>
        <v>34</v>
      </c>
      <c r="X13" s="187">
        <f t="shared" si="6"/>
        <v>65</v>
      </c>
      <c r="Y13" s="187">
        <f t="shared" si="6"/>
        <v>7</v>
      </c>
      <c r="Z13" s="187">
        <f t="shared" si="6"/>
        <v>11</v>
      </c>
      <c r="AA13" s="187">
        <f t="shared" si="6"/>
        <v>6</v>
      </c>
      <c r="AB13" s="187">
        <f t="shared" si="6"/>
        <v>12</v>
      </c>
      <c r="AC13" s="187">
        <f t="shared" si="6"/>
        <v>0</v>
      </c>
      <c r="AD13" s="187">
        <f t="shared" si="6"/>
        <v>0</v>
      </c>
      <c r="AE13" s="187">
        <f t="shared" si="6"/>
        <v>0</v>
      </c>
      <c r="AF13" s="187">
        <f>SUBTOTAL(9,AF9:AF12)</f>
        <v>0</v>
      </c>
      <c r="AG13" s="187">
        <f t="shared" ref="AG13:AT13" si="7">SUBTOTAL(9,AG8:AG12)</f>
        <v>9</v>
      </c>
      <c r="AH13" s="187">
        <f t="shared" si="7"/>
        <v>9</v>
      </c>
      <c r="AI13" s="187">
        <f t="shared" si="7"/>
        <v>10</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370</v>
      </c>
      <c r="AZ13" s="187">
        <f>SUBTOTAL(9,AZ8:AZ12)</f>
        <v>148</v>
      </c>
      <c r="BA13" s="187">
        <f>SUBTOTAL(9,BA8:BA12)</f>
        <v>194</v>
      </c>
      <c r="BB13" s="187">
        <f>SUBTOTAL(9,BB8:BB12)</f>
        <v>324</v>
      </c>
      <c r="BC13" s="187">
        <f>SUBTOTAL(9,BC8:BC12)</f>
        <v>65</v>
      </c>
      <c r="BD13" s="208">
        <f>IF(ISNUMBER(BA13/AZ13),BA13/AZ13," - ")</f>
        <v>1.3108108108108107</v>
      </c>
      <c r="BE13" s="209">
        <f>IF(ISNUMBER(BB13/BA13),BB13/BA13, " - ")</f>
        <v>1.6701030927835052</v>
      </c>
      <c r="BF13" s="209">
        <f>IF(ISNUMBER(BC13/BA13),BC13/BA13, " - ")</f>
        <v>0.33505154639175255</v>
      </c>
      <c r="BG13" s="210">
        <f>IF(ISNUMBER((AY13+AZ13)/BA13),(AY13+AZ13)/BA13," - ")</f>
        <v>2.670103092783505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267</v>
      </c>
      <c r="J16" s="186">
        <v>174</v>
      </c>
      <c r="K16" s="186">
        <v>182</v>
      </c>
      <c r="L16" s="186">
        <v>269</v>
      </c>
      <c r="M16" s="186">
        <v>42</v>
      </c>
      <c r="N16" s="186">
        <v>69</v>
      </c>
      <c r="O16" s="184">
        <v>8</v>
      </c>
      <c r="P16" s="186">
        <v>16</v>
      </c>
      <c r="Q16" s="186">
        <v>8</v>
      </c>
      <c r="R16" s="186">
        <v>10</v>
      </c>
      <c r="S16" s="186">
        <v>319</v>
      </c>
      <c r="T16" s="186">
        <v>151</v>
      </c>
      <c r="U16" s="186">
        <v>150</v>
      </c>
      <c r="V16" s="186">
        <v>320</v>
      </c>
      <c r="W16" s="186">
        <v>30</v>
      </c>
      <c r="X16" s="192">
        <v>104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319</v>
      </c>
      <c r="AZ16" s="127">
        <f t="shared" si="9"/>
        <v>151</v>
      </c>
      <c r="BA16" s="127">
        <f t="shared" si="9"/>
        <v>150</v>
      </c>
      <c r="BB16" s="127">
        <f t="shared" si="9"/>
        <v>320</v>
      </c>
      <c r="BC16" s="125">
        <f>IF(ISNUMBER(W16),W16," - ")</f>
        <v>30</v>
      </c>
      <c r="BD16" s="126">
        <f t="shared" ref="BD16" si="11">IF(ISNUMBER(BA16/AZ16),BA16/AZ16," - ")</f>
        <v>0.99337748344370858</v>
      </c>
      <c r="BE16" s="127">
        <f t="shared" ref="BE16" si="12">IF(ISNUMBER(BB16/BA16),BB16/BA16, " - ")</f>
        <v>2.1333333333333333</v>
      </c>
      <c r="BF16" s="127">
        <f t="shared" ref="BF16" si="13">IF(ISNUMBER(BC16/BA16),BC16/BA16, " - ")</f>
        <v>0.2</v>
      </c>
      <c r="BG16" s="199">
        <f t="shared" si="10"/>
        <v>3.1333333333333333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3</v>
      </c>
      <c r="K17" s="186">
        <v>3</v>
      </c>
      <c r="L17" s="186">
        <v>7</v>
      </c>
      <c r="M17" s="186">
        <v>0</v>
      </c>
      <c r="N17" s="186">
        <v>3</v>
      </c>
      <c r="O17" s="186">
        <v>0</v>
      </c>
      <c r="P17" s="186">
        <v>0</v>
      </c>
      <c r="Q17" s="186">
        <v>0</v>
      </c>
      <c r="R17" s="186">
        <v>0</v>
      </c>
      <c r="S17" s="186">
        <v>7</v>
      </c>
      <c r="T17" s="186">
        <v>8</v>
      </c>
      <c r="U17" s="186">
        <v>8</v>
      </c>
      <c r="V17" s="186">
        <v>7</v>
      </c>
      <c r="W17" s="186">
        <v>2</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v>
      </c>
      <c r="AZ17" s="129">
        <f t="shared" si="14"/>
        <v>8</v>
      </c>
      <c r="BA17" s="129">
        <f t="shared" si="14"/>
        <v>8</v>
      </c>
      <c r="BB17" s="129">
        <f t="shared" si="14"/>
        <v>7</v>
      </c>
      <c r="BC17" s="125">
        <f>IF(ISNUMBER(W17),W17," - ")</f>
        <v>2</v>
      </c>
      <c r="BD17" s="126">
        <f>IF(ISNUMBER(BA17/AZ17),BA17/AZ17," - ")</f>
        <v>1</v>
      </c>
      <c r="BE17" s="127">
        <f>IF(ISNUMBER(BB17/BA17),BB17/BA17, " - ")</f>
        <v>0.875</v>
      </c>
      <c r="BF17" s="127">
        <f>IF(ISNUMBER(BC17/BA17),BC17/BA17, " - ")</f>
        <v>0.25</v>
      </c>
      <c r="BG17" s="199">
        <f>IF(ISNUMBER((AY17+AZ17)/BA17),(AY17+AZ17)/BA17," - ")</f>
        <v>1.875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274</v>
      </c>
      <c r="J18" s="187">
        <f t="shared" si="15"/>
        <v>177</v>
      </c>
      <c r="K18" s="187">
        <f t="shared" si="15"/>
        <v>185</v>
      </c>
      <c r="L18" s="187">
        <f t="shared" si="15"/>
        <v>276</v>
      </c>
      <c r="M18" s="187">
        <f t="shared" si="15"/>
        <v>42</v>
      </c>
      <c r="N18" s="187">
        <f t="shared" si="15"/>
        <v>72</v>
      </c>
      <c r="O18" s="187">
        <f t="shared" si="15"/>
        <v>8</v>
      </c>
      <c r="P18" s="187">
        <f t="shared" si="15"/>
        <v>16</v>
      </c>
      <c r="Q18" s="187">
        <f t="shared" si="15"/>
        <v>8</v>
      </c>
      <c r="R18" s="187">
        <f t="shared" si="15"/>
        <v>10</v>
      </c>
      <c r="S18" s="187">
        <f t="shared" si="15"/>
        <v>326</v>
      </c>
      <c r="T18" s="187">
        <f t="shared" si="15"/>
        <v>159</v>
      </c>
      <c r="U18" s="187">
        <f t="shared" si="15"/>
        <v>158</v>
      </c>
      <c r="V18" s="187">
        <f t="shared" si="15"/>
        <v>327</v>
      </c>
      <c r="W18" s="187">
        <f t="shared" si="15"/>
        <v>32</v>
      </c>
      <c r="X18" s="187">
        <f t="shared" si="15"/>
        <v>112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326</v>
      </c>
      <c r="AZ18" s="187">
        <f>SUBTOTAL(9,AZ14:AZ17)</f>
        <v>159</v>
      </c>
      <c r="BA18" s="187">
        <f>SUBTOTAL(9,BA14:BA17)</f>
        <v>158</v>
      </c>
      <c r="BB18" s="187">
        <f>SUBTOTAL(9,BB14:BB17)</f>
        <v>327</v>
      </c>
      <c r="BC18" s="187">
        <f>SUBTOTAL(9,BC14:BC17)</f>
        <v>32</v>
      </c>
      <c r="BD18" s="208">
        <f>IF(ISNUMBER(BA18/AZ18),BA18/AZ18," - ")</f>
        <v>0.99371069182389937</v>
      </c>
      <c r="BE18" s="209">
        <f>IF(ISNUMBER(BB18/BA18),BB18/BA18, " - ")</f>
        <v>2.0696202531645569</v>
      </c>
      <c r="BF18" s="209">
        <f>IF(ISNUMBER(BC18/BA18),BC18/BA18, " - ")</f>
        <v>0.20253164556962025</v>
      </c>
      <c r="BG18" s="210">
        <f>IF(ISNUMBER((AY18+AZ18)/BA18),(AY18+AZ18)/BA18," - ")</f>
        <v>3.0696202531645569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635</v>
      </c>
      <c r="J19" s="134">
        <f t="shared" si="18"/>
        <v>379</v>
      </c>
      <c r="K19" s="134">
        <f t="shared" si="18"/>
        <v>359</v>
      </c>
      <c r="L19" s="134">
        <f t="shared" si="18"/>
        <v>665</v>
      </c>
      <c r="M19" s="134">
        <f t="shared" si="18"/>
        <v>87</v>
      </c>
      <c r="N19" s="134">
        <f t="shared" si="18"/>
        <v>108</v>
      </c>
      <c r="O19" s="134">
        <f t="shared" si="18"/>
        <v>106</v>
      </c>
      <c r="P19" s="134">
        <f t="shared" si="18"/>
        <v>60</v>
      </c>
      <c r="Q19" s="134">
        <f t="shared" si="18"/>
        <v>17</v>
      </c>
      <c r="R19" s="134">
        <f t="shared" si="18"/>
        <v>777</v>
      </c>
      <c r="S19" s="134">
        <f t="shared" si="18"/>
        <v>687</v>
      </c>
      <c r="T19" s="134">
        <f t="shared" si="18"/>
        <v>298</v>
      </c>
      <c r="U19" s="134">
        <f t="shared" si="18"/>
        <v>342</v>
      </c>
      <c r="V19" s="134">
        <f t="shared" si="18"/>
        <v>643</v>
      </c>
      <c r="W19" s="134">
        <f t="shared" si="18"/>
        <v>66</v>
      </c>
      <c r="X19" s="134">
        <f t="shared" si="18"/>
        <v>177</v>
      </c>
      <c r="Y19" s="134">
        <f t="shared" si="18"/>
        <v>7</v>
      </c>
      <c r="Z19" s="134">
        <f t="shared" si="18"/>
        <v>11</v>
      </c>
      <c r="AA19" s="134">
        <f t="shared" si="18"/>
        <v>6</v>
      </c>
      <c r="AB19" s="134">
        <f t="shared" si="18"/>
        <v>12</v>
      </c>
      <c r="AC19" s="134">
        <f t="shared" si="18"/>
        <v>0</v>
      </c>
      <c r="AD19" s="134">
        <f t="shared" si="18"/>
        <v>0</v>
      </c>
      <c r="AE19" s="134">
        <f t="shared" si="18"/>
        <v>0</v>
      </c>
      <c r="AF19" s="134">
        <f t="shared" si="18"/>
        <v>0</v>
      </c>
      <c r="AG19" s="134">
        <f t="shared" si="18"/>
        <v>9</v>
      </c>
      <c r="AH19" s="134">
        <f t="shared" si="18"/>
        <v>9</v>
      </c>
      <c r="AI19" s="134">
        <f t="shared" si="18"/>
        <v>10</v>
      </c>
      <c r="AJ19" s="134">
        <f t="shared" si="18"/>
        <v>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696</v>
      </c>
      <c r="AZ19" s="134">
        <f>SUBTOTAL(9,AZ9:AZ18)</f>
        <v>307</v>
      </c>
      <c r="BA19" s="134">
        <f>SUBTOTAL(9,BA9:BA18)</f>
        <v>352</v>
      </c>
      <c r="BB19" s="134">
        <f>SUBTOTAL(9,BB9:BB18)</f>
        <v>651</v>
      </c>
      <c r="BC19" s="135">
        <f>SUBTOTAL(9,BC9:BC18)</f>
        <v>97</v>
      </c>
      <c r="BD19" s="216">
        <f>IF(ISNUMBER(BA19/AZ19),BA19/AZ19," - ")</f>
        <v>1.1465798045602607</v>
      </c>
      <c r="BE19" s="213">
        <f>IF(ISNUMBER(BB19/BA19),BB19/BA19, " - ")</f>
        <v>1.8494318181818181</v>
      </c>
      <c r="BF19" s="213">
        <f>IF(ISNUMBER(BC19/BA19),BC19/BA19, " - ")</f>
        <v>0.27556818181818182</v>
      </c>
      <c r="BG19" s="135">
        <f>IF(ISNUMBER((AY19+AZ19)/BA19),(AY19+AZ19)/BA19," - ")</f>
        <v>2.8494318181818183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XUbM8T6ePKEW+gkhzij2XKmP6m0VLAb3MyNA0X+XDRF58iPmLCe2WMKnGdmGHgrntlgnFR/UBfzL8Cq95oc6A==" saltValue="NGGcTW3JfJQpvhDX6/os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Qmuoj0qlSPlVn8gS2tL5ZuEZGfoqQd58oi+5Y6Th6fYG3I9wzI0H9SwoMiGdT/ziaPQtZhdX6+qkSuA/n00jQ==" saltValue="ixq2ktL1yBIlnvxuqqU9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SEPULVEDA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v>
      </c>
      <c r="O12" s="337"/>
      <c r="P12" s="337"/>
      <c r="Q12" s="229">
        <f>IF(ISNUMBER(Datos!P12),Datos!P12,0)</f>
        <v>44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767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v>
      </c>
      <c r="BD12" s="232">
        <f>IF(ISNUMBER(Datos!N12),Datos!N12," - ")</f>
        <v>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0.84507042253521125</v>
      </c>
      <c r="BH12" s="263">
        <f>IF(ISNUMBER(((IF(J_V="SI",Datos!L12/Datos!K12,(Datos!L12+Datos!AB12)/(Datos!K12+Datos!AA12)))*11)/factor_trimestre),((IF(J_V="SI",Datos!L12/Datos!K12,(Datos!L12+Datos!AB12)/(Datos!K12+Datos!AA12)))*11)/factor_trimestre," - ")</f>
        <v>6.6833333333333336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4.7814207650273222E-2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11</v>
      </c>
      <c r="O13" s="903">
        <f t="shared" si="0"/>
        <v>0</v>
      </c>
      <c r="P13" s="903">
        <f t="shared" si="0"/>
        <v>0</v>
      </c>
      <c r="Q13" s="902">
        <f t="shared" si="0"/>
        <v>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9</v>
      </c>
      <c r="AD13" s="902">
        <f t="shared" si="1"/>
        <v>0</v>
      </c>
      <c r="AE13" s="902">
        <f t="shared" si="1"/>
        <v>0</v>
      </c>
      <c r="AF13" s="902">
        <f t="shared" si="1"/>
        <v>0</v>
      </c>
      <c r="AG13" s="902">
        <f t="shared" si="1"/>
        <v>0</v>
      </c>
      <c r="AH13" s="902">
        <f t="shared" si="1"/>
        <v>12</v>
      </c>
      <c r="AI13" s="902">
        <f t="shared" si="1"/>
        <v>0</v>
      </c>
      <c r="AJ13" s="902">
        <f t="shared" si="1"/>
        <v>0</v>
      </c>
      <c r="AK13" s="902">
        <f t="shared" si="1"/>
        <v>0</v>
      </c>
      <c r="AL13" s="902">
        <f t="shared" si="1"/>
        <v>0</v>
      </c>
      <c r="AM13" s="902">
        <f t="shared" si="1"/>
        <v>767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v>
      </c>
      <c r="BD13" s="902">
        <f t="shared" si="1"/>
        <v>36</v>
      </c>
      <c r="BE13" s="902">
        <f t="shared" si="1"/>
        <v>0</v>
      </c>
      <c r="BF13" s="902">
        <f t="shared" si="1"/>
        <v>0</v>
      </c>
      <c r="BG13" s="902">
        <f>IF(ISNUMBER(Datos!K13/Datos!J13),Datos!K13/Datos!J13," - ")</f>
        <v>0.86138613861386137</v>
      </c>
      <c r="BH13" s="906">
        <f>IF(ISNUMBER(((Datos!L13/Datos!K13)*11)/factor_trimestre),((Datos!L13/Datos!K13)*11)/factor_trimestre," - ")</f>
        <v>6.7068965517241388</v>
      </c>
      <c r="BI13" s="902">
        <f>IF(ISNUMBER('Resol  Asuntos'!D13/NºAsuntos!G13),'Resol  Asuntos'!D13/NºAsuntos!G13," - ")</f>
        <v>0.25</v>
      </c>
      <c r="BJ13" s="902" t="str">
        <f>IF(ISNUMBER(Datos!CI13/Datos!CJ13),Datos!CI13/Datos!CJ13," - ")</f>
        <v xml:space="preserve"> - </v>
      </c>
      <c r="BK13" s="902">
        <f>SUBTOTAL(9,BK8:BK12)</f>
        <v>0</v>
      </c>
      <c r="BL13" s="902" t="str">
        <f>IF(ISNUMBER((I13-AB13+L13)/(F13)),(I13-AB13+L13)/(F13)," - ")</f>
        <v xml:space="preserve"> - </v>
      </c>
      <c r="BM13" s="907">
        <f>SUBTOTAL(9,BM9:BM12)</f>
        <v>4.7814207650273222E-2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277</v>
      </c>
      <c r="G16" s="601">
        <f>IF(ISNUMBER(IF(D_I="SI",Datos!I16,Datos!I16+Datos!AC16)),IF(D_I="SI",Datos!I16,Datos!I16+Datos!AC16)," - ")</f>
        <v>267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182</v>
      </c>
      <c r="AC16" s="229">
        <f>IF(ISNUMBER(Datos!Q16),Datos!Q16," - ")</f>
        <v>8</v>
      </c>
      <c r="AD16" s="337"/>
      <c r="AE16" s="487"/>
      <c r="AF16" s="599">
        <f>IF(ISNUMBER(IF(D_I="SI",Datos!L16,Datos!L16+Datos!AF16)),IF(D_I="SI",Datos!L16,Datos!L16+Datos!AF16)," - ")</f>
        <v>269</v>
      </c>
      <c r="AG16" s="337"/>
      <c r="AH16" s="337"/>
      <c r="AI16" s="337"/>
      <c r="AJ16" s="337"/>
      <c r="AK16" s="337"/>
      <c r="AL16" s="482"/>
      <c r="AM16" s="338">
        <f>IF(ISNUMBER(Datos!R16),Datos!R16," - ")</f>
        <v>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42</v>
      </c>
      <c r="BD16" s="232">
        <f>IF(ISNUMBER(Datos!N16),Datos!N16," - ")</f>
        <v>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1.0459770114942528</v>
      </c>
      <c r="BH16" s="263">
        <f>IF(ISNUMBER(((IF(D_I="SI",Datos!L16/Datos!K16,(Datos!L16+Datos!AF16)/(Datos!K16+Datos!AE16)))*11)/factor_trimestre),((IF(D_I="SI",Datos!L16/Datos!K16,(Datos!L16+Datos!AF16)/(Datos!K16+Datos!AE16)))*11)/factor_trimestre," - ")</f>
        <v>4.4340659340659343</v>
      </c>
      <c r="BI16" s="246">
        <f>IF(ISNUMBER('Resol  Asuntos'!D16/NºAsuntos!G16),'Resol  Asuntos'!D16/NºAsuntos!G16," - ")</f>
        <v>0.23076923076923078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7.0000000000000009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277</v>
      </c>
      <c r="G18" s="901">
        <f>SUBTOTAL(9,G15:G17)</f>
        <v>274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185</v>
      </c>
      <c r="AC18" s="902">
        <f t="shared" si="4"/>
        <v>8</v>
      </c>
      <c r="AD18" s="902">
        <f t="shared" si="4"/>
        <v>0</v>
      </c>
      <c r="AE18" s="902">
        <f t="shared" si="4"/>
        <v>0</v>
      </c>
      <c r="AF18" s="902">
        <f t="shared" si="4"/>
        <v>276</v>
      </c>
      <c r="AG18" s="902">
        <f t="shared" si="4"/>
        <v>0</v>
      </c>
      <c r="AH18" s="902">
        <f t="shared" si="4"/>
        <v>0</v>
      </c>
      <c r="AI18" s="902">
        <f t="shared" si="4"/>
        <v>0</v>
      </c>
      <c r="AJ18" s="902">
        <f t="shared" si="4"/>
        <v>0</v>
      </c>
      <c r="AK18" s="902">
        <f t="shared" si="4"/>
        <v>0</v>
      </c>
      <c r="AL18" s="902">
        <f t="shared" si="4"/>
        <v>0</v>
      </c>
      <c r="AM18" s="902">
        <f t="shared" si="4"/>
        <v>10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42</v>
      </c>
      <c r="BD18" s="902">
        <f t="shared" si="4"/>
        <v>72</v>
      </c>
      <c r="BE18" s="902">
        <f t="shared" si="4"/>
        <v>0</v>
      </c>
      <c r="BF18" s="902">
        <f t="shared" si="4"/>
        <v>0</v>
      </c>
      <c r="BG18" s="902">
        <f>IF(ISNUMBER(Datos!K18/Datos!J18),Datos!K18/Datos!J18," - ")</f>
        <v>1.0451977401129944</v>
      </c>
      <c r="BH18" s="906">
        <f>IF(ISNUMBER(((Datos!L18/Datos!K18)*11)/factor_trimestre),((Datos!L18/Datos!K18)*11)/factor_trimestre," - ")</f>
        <v>4.4756756756756761</v>
      </c>
      <c r="BI18" s="902">
        <f>SUBTOTAL(9,BI15:BI17)</f>
        <v>0.23076923076923078</v>
      </c>
      <c r="BJ18" s="902">
        <f>SUBTOTAL(9,BJ15:BJ17)</f>
        <v>0</v>
      </c>
      <c r="BK18" s="902">
        <f>SUBTOTAL(9,BK15:BK17)</f>
        <v>0</v>
      </c>
      <c r="BL18" s="902">
        <f>IF(ISNUMBER((I18-AB18+L18)/(F18)),(I18-AB18+L18)/(F18)," - ")</f>
        <v>-0.66787003610108309</v>
      </c>
      <c r="BM18" s="908">
        <f>IF(ISNUMBER((Datos!P18-Datos!Q18)/(Datos!R18-Datos!P18+Datos!Q18)),(Datos!P18-Datos!Q18)/(Datos!R18-Datos!P18+Datos!Q18)," - ")</f>
        <v>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277</v>
      </c>
      <c r="G19" s="823">
        <f t="shared" si="6"/>
        <v>274</v>
      </c>
      <c r="H19" s="825">
        <f t="shared" si="6"/>
        <v>0</v>
      </c>
      <c r="I19" s="823">
        <f t="shared" si="6"/>
        <v>0</v>
      </c>
      <c r="J19" s="825">
        <f t="shared" si="6"/>
        <v>0</v>
      </c>
      <c r="K19" s="825">
        <f t="shared" si="6"/>
        <v>0</v>
      </c>
      <c r="L19" s="884">
        <f t="shared" si="6"/>
        <v>0</v>
      </c>
      <c r="M19" s="884">
        <f t="shared" si="6"/>
        <v>0</v>
      </c>
      <c r="N19" s="884">
        <f t="shared" si="6"/>
        <v>11</v>
      </c>
      <c r="O19" s="884">
        <f t="shared" si="6"/>
        <v>0</v>
      </c>
      <c r="P19" s="884">
        <f t="shared" si="6"/>
        <v>0</v>
      </c>
      <c r="Q19" s="825">
        <f t="shared" si="6"/>
        <v>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185</v>
      </c>
      <c r="AC19" s="824">
        <f t="shared" si="7"/>
        <v>17</v>
      </c>
      <c r="AD19" s="824">
        <f t="shared" si="7"/>
        <v>0</v>
      </c>
      <c r="AE19" s="824">
        <f t="shared" si="7"/>
        <v>0</v>
      </c>
      <c r="AF19" s="831">
        <f t="shared" si="7"/>
        <v>276</v>
      </c>
      <c r="AG19" s="831">
        <f t="shared" si="7"/>
        <v>0</v>
      </c>
      <c r="AH19" s="831">
        <f t="shared" si="7"/>
        <v>12</v>
      </c>
      <c r="AI19" s="831">
        <f t="shared" si="7"/>
        <v>0</v>
      </c>
      <c r="AJ19" s="824">
        <f t="shared" si="7"/>
        <v>0</v>
      </c>
      <c r="AK19" s="831">
        <f t="shared" si="7"/>
        <v>0</v>
      </c>
      <c r="AL19" s="831">
        <f t="shared" si="7"/>
        <v>0</v>
      </c>
      <c r="AM19" s="831">
        <f t="shared" si="7"/>
        <v>777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v>
      </c>
      <c r="BD19" s="823">
        <f t="shared" si="7"/>
        <v>108</v>
      </c>
      <c r="BE19" s="823">
        <f t="shared" si="7"/>
        <v>0</v>
      </c>
      <c r="BF19" s="833">
        <f t="shared" si="7"/>
        <v>0</v>
      </c>
      <c r="BG19" s="918">
        <f>IF(ISNUMBER(Datos!K19/Datos!J19),Datos!K19/Datos!J19," - ")</f>
        <v>0.94722955145118737</v>
      </c>
      <c r="BH19" s="918">
        <f>IF(ISNUMBER(((Datos!L19/Datos!K19)*11)/factor_trimestre),((Datos!L19/Datos!K19)*11)/factor_trimestre," - ")</f>
        <v>5.5571030640668519</v>
      </c>
      <c r="BI19" s="816">
        <f>IF(ISNUMBER(Datos!J19/Datos!I19),Datos!J19/Datos!I19," - ")</f>
        <v>0.59685039370078741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-0.66787003610108309</v>
      </c>
      <c r="BM19" s="892">
        <f>IF(ISNUMBER((Datos!P19-Datos!Q19+R19)/(Datos!R19-Datos!P19+Datos!Q19-R19)),(Datos!P19-Datos!Q19+R19)/(Datos!R19-Datos!P19+Datos!Q19-R19)," - ")</f>
        <v>5.858310626702997E-2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159.92602456552632</v>
      </c>
      <c r="G21" s="555">
        <f>IF(ISNUMBER(STDEV(G8:G18)),STDEV(G8:G18),"-")</f>
        <v>146.92957496705691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99.972496217709804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22.503333086456326</v>
      </c>
      <c r="BD21" s="554"/>
      <c r="BE21" s="554">
        <f>IF(ISNUMBER(STDEV(BE8:BE18)),STDEV(BE8:BE18),"-")</f>
        <v>0</v>
      </c>
      <c r="BF21" s="559">
        <f>IF(ISNUMBER(STDEV(BF8:BF18)),STDEV(BF8:BF18),"-")</f>
        <v>0</v>
      </c>
      <c r="BG21" s="778">
        <f>IF(ISNUMBER(STDEV(BG8:BG18)),STDEV(BG8:BG18),"-")</f>
        <v>9.8973583247894958E-2</v>
      </c>
      <c r="BH21" s="779">
        <f>IF(ISNUMBER(STDEV(BH8:BH18)),STDEV(BH8:BH18),"-")</f>
        <v>1.2888321595775003</v>
      </c>
      <c r="BI21" s="252">
        <f>IF(ISNUMBER(STDEV(BI8:BI18)),STDEV(BI8:BI18),"-")</f>
        <v>0.11893573920050944</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j5HL/ZDk8EVTCHlag9D0prgd7WmOiHfSzt1yE4227tL+J0t1MEQibMeF2CGgSKXynoGqp/KK7rvDz2mkCE7aA==" saltValue="Q724BtjY1QsrjN+GsGX0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SEPULVEDA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v>
      </c>
      <c r="AA12" s="335" t="str">
        <f>IF(ISNUMBER(IF(J_V="SI",Datos!L12,Datos!L12+Datos!AB12)-IF(Monitorios="SI",Datos!CD12,0)),
                          IF(J_V="SI",Datos!L12,Datos!L12+Datos!AB12)-IF(Monitorios="SI",Datos!CD12,0),
                          " - ")</f>
        <v xml:space="preserve"> - </v>
      </c>
      <c r="AB12" s="337"/>
      <c r="AC12" s="337"/>
      <c r="AD12" s="487"/>
      <c r="AE12" s="487">
        <f>IF(ISNUMBER(Datos!R12),Datos!R12," - ")</f>
        <v>767</v>
      </c>
      <c r="AF12" s="232" t="str">
        <f>IF(ISNUMBER(Datos!BV12),Datos!BV12," - ")</f>
        <v xml:space="preserve"> - </v>
      </c>
      <c r="AG12" s="228" t="str">
        <f>IF(ISNUMBER(Datos!DV12),Datos!DV12," - ")</f>
        <v xml:space="preserve"> - </v>
      </c>
      <c r="AH12" s="301"/>
      <c r="AI12" s="230"/>
      <c r="AJ12" s="228">
        <f>IF(ISNUMBER(Datos!M12),Datos!M12," - ")</f>
        <v>45</v>
      </c>
      <c r="AK12" s="232">
        <f>IF(ISNUMBER(Datos!N12),Datos!N12," - ")</f>
        <v>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6.6833333333333336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4.7814207650273222E-2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9</v>
      </c>
      <c r="AA13" s="903">
        <f t="shared" si="2"/>
        <v>0</v>
      </c>
      <c r="AB13" s="903">
        <f t="shared" si="2"/>
        <v>0</v>
      </c>
      <c r="AC13" s="903">
        <f t="shared" si="2"/>
        <v>0</v>
      </c>
      <c r="AD13" s="903">
        <f t="shared" si="2"/>
        <v>0</v>
      </c>
      <c r="AE13" s="903">
        <f t="shared" si="2"/>
        <v>767</v>
      </c>
      <c r="AF13" s="911">
        <f t="shared" si="2"/>
        <v>0</v>
      </c>
      <c r="AG13" s="911">
        <f t="shared" si="2"/>
        <v>0</v>
      </c>
      <c r="AH13" s="911">
        <f t="shared" si="2"/>
        <v>0</v>
      </c>
      <c r="AI13" s="911">
        <f t="shared" si="2"/>
        <v>0</v>
      </c>
      <c r="AJ13" s="911">
        <f t="shared" si="2"/>
        <v>45</v>
      </c>
      <c r="AK13" s="911">
        <f t="shared" si="2"/>
        <v>36</v>
      </c>
      <c r="AL13" s="911">
        <f t="shared" si="2"/>
        <v>0</v>
      </c>
      <c r="AM13" s="911">
        <f t="shared" si="2"/>
        <v>0</v>
      </c>
      <c r="AN13" s="911">
        <f t="shared" si="2"/>
        <v>0</v>
      </c>
      <c r="AO13" s="907">
        <f>IF(ISNUMBER(((NºAsuntos!I13/NºAsuntos!G13)*11)/factor_trimestre),((NºAsuntos!I13/NºAsuntos!G13)*11)/factor_trimestre," - ")</f>
        <v>6.6833333333333336</v>
      </c>
      <c r="AP13" s="913" t="str">
        <f>IF(ISNUMBER(Datos!CI13/Datos!CJ13),Datos!CI13/Datos!CJ13," - ")</f>
        <v xml:space="preserve"> - </v>
      </c>
      <c r="AQ13" s="931">
        <f t="shared" ref="AQ13:AV13" si="3">SUBTOTAL(9,AQ9:AQ12)</f>
        <v>0</v>
      </c>
      <c r="AR13" s="931">
        <f t="shared" si="3"/>
        <v>4.7814207650273222E-2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277</v>
      </c>
      <c r="G16" s="228">
        <f>IF(ISNUMBER(IF(D_I="SI",Datos!I16,Datos!I16+Datos!AC16)),IF(D_I="SI",Datos!I16,Datos!I16+Datos!AC16)," - ")</f>
        <v>267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182</v>
      </c>
      <c r="Z16" s="622">
        <f>IF(ISNUMBER(Datos!Q16),Datos!Q16," - ")</f>
        <v>8</v>
      </c>
      <c r="AA16" s="335">
        <f>IF(ISNUMBER(IF(D_I="SI",Datos!L16,Datos!L16+Datos!AF16)),IF(D_I="SI",Datos!L16,Datos!L16+Datos!AF16)," - ")</f>
        <v>269</v>
      </c>
      <c r="AB16" s="337"/>
      <c r="AC16" s="337"/>
      <c r="AD16" s="487"/>
      <c r="AE16" s="487">
        <f>IF(ISNUMBER(Datos!R16),Datos!R16," - ")</f>
        <v>10</v>
      </c>
      <c r="AF16" s="232" t="str">
        <f>IF(ISNUMBER(Datos!BV16),Datos!BV16," - ")</f>
        <v xml:space="preserve"> - </v>
      </c>
      <c r="AG16" s="228"/>
      <c r="AH16" s="301"/>
      <c r="AI16" s="230"/>
      <c r="AJ16" s="228">
        <f>IF(ISNUMBER(Datos!M16),Datos!M16," - ")</f>
        <v>42</v>
      </c>
      <c r="AK16" s="232">
        <f>IF(ISNUMBER(Datos!N16),Datos!N16," - ")</f>
        <v>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4.4340659340659343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7.0000000000000009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277</v>
      </c>
      <c r="G18" s="901">
        <f>SUBTOTAL(9,G15:G17)</f>
        <v>274</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185</v>
      </c>
      <c r="Z18" s="935">
        <f t="shared" si="5"/>
        <v>8</v>
      </c>
      <c r="AA18" s="935">
        <f t="shared" si="5"/>
        <v>276</v>
      </c>
      <c r="AB18" s="935">
        <f t="shared" si="5"/>
        <v>0</v>
      </c>
      <c r="AC18" s="935">
        <f t="shared" si="5"/>
        <v>0</v>
      </c>
      <c r="AD18" s="935">
        <f t="shared" si="5"/>
        <v>0</v>
      </c>
      <c r="AE18" s="935">
        <f t="shared" si="5"/>
        <v>10</v>
      </c>
      <c r="AF18" s="935">
        <f t="shared" si="5"/>
        <v>0</v>
      </c>
      <c r="AG18" s="935">
        <f t="shared" si="5"/>
        <v>0</v>
      </c>
      <c r="AH18" s="935">
        <f t="shared" si="5"/>
        <v>0</v>
      </c>
      <c r="AI18" s="935">
        <f t="shared" si="5"/>
        <v>0</v>
      </c>
      <c r="AJ18" s="935">
        <f t="shared" si="5"/>
        <v>42</v>
      </c>
      <c r="AK18" s="935">
        <f t="shared" si="5"/>
        <v>72</v>
      </c>
      <c r="AL18" s="935">
        <f t="shared" si="5"/>
        <v>0</v>
      </c>
      <c r="AM18" s="935">
        <f t="shared" si="5"/>
        <v>0</v>
      </c>
      <c r="AN18" s="935">
        <f t="shared" si="5"/>
        <v>0</v>
      </c>
      <c r="AO18" s="937">
        <f>IF(ISNUMBER(((NºAsuntos!I18/NºAsuntos!G18)*11)/factor_trimestre),((NºAsuntos!I18/NºAsuntos!G18)*11)/factor_trimestre," - ")</f>
        <v>4.4756756756756761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277</v>
      </c>
      <c r="G19" s="823">
        <f t="shared" si="7"/>
        <v>274</v>
      </c>
      <c r="H19" s="824">
        <f t="shared" si="7"/>
        <v>0</v>
      </c>
      <c r="I19" s="823">
        <f t="shared" si="7"/>
        <v>0</v>
      </c>
      <c r="J19" s="825">
        <f t="shared" si="7"/>
        <v>0</v>
      </c>
      <c r="K19" s="823">
        <f t="shared" si="7"/>
        <v>0</v>
      </c>
      <c r="L19" s="826">
        <f t="shared" si="7"/>
        <v>0</v>
      </c>
      <c r="M19" s="823">
        <f t="shared" si="7"/>
        <v>0</v>
      </c>
      <c r="N19" s="824">
        <f t="shared" si="7"/>
        <v>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185</v>
      </c>
      <c r="Z19" s="830">
        <f t="shared" si="8"/>
        <v>17</v>
      </c>
      <c r="AA19" s="831">
        <f t="shared" si="8"/>
        <v>276</v>
      </c>
      <c r="AB19" s="831">
        <f t="shared" si="8"/>
        <v>0</v>
      </c>
      <c r="AC19" s="831">
        <f t="shared" si="8"/>
        <v>0</v>
      </c>
      <c r="AD19" s="832">
        <f t="shared" si="8"/>
        <v>0</v>
      </c>
      <c r="AE19" s="832">
        <f t="shared" si="8"/>
        <v>777</v>
      </c>
      <c r="AF19" s="833">
        <f t="shared" si="8"/>
        <v>0</v>
      </c>
      <c r="AG19" s="834">
        <f t="shared" si="8"/>
        <v>0</v>
      </c>
      <c r="AH19" s="835">
        <f t="shared" si="8"/>
        <v>0</v>
      </c>
      <c r="AI19" s="833">
        <f t="shared" si="8"/>
        <v>0</v>
      </c>
      <c r="AJ19" s="823">
        <f t="shared" si="8"/>
        <v>87</v>
      </c>
      <c r="AK19" s="823">
        <f t="shared" si="8"/>
        <v>108</v>
      </c>
      <c r="AL19" s="823">
        <f t="shared" si="8"/>
        <v>0</v>
      </c>
      <c r="AM19" s="836">
        <f t="shared" si="8"/>
        <v>0</v>
      </c>
      <c r="AN19" s="826">
        <f>IF(ISNUMBER(Datos!K19/Datos!J19),Datos!K19/Datos!J19," - ")</f>
        <v>0.94722955145118737</v>
      </c>
      <c r="AO19" s="826">
        <f>IF(ISNUMBER(FIND("06",Criterios!A8,1)),(IF(ISNUMBER(((Datos!R19/Datos!Q19)*11)/factor_trimestre),((Datos!R19/Datos!Q19)*11)/factor_trimestre," - ")),(IF(ISNUMBER(((Datos!L19/Datos!K19)*11)/factor_trimestre),((Datos!L19/Datos!K19)*11)/factor_trimestre," - ")))</f>
        <v>5.5571030640668519</v>
      </c>
      <c r="AP19" s="837" t="str">
        <f>IF(ISNUMBER(Datos!CI19/Datos!CJ19),Datos!CI19/Datos!CJ19," - ")</f>
        <v xml:space="preserve"> - </v>
      </c>
      <c r="AQ19" s="837">
        <f>IF(OR(ISNUMBER(FIND("01",Criterios!A8,1)),ISNUMBER(FIND("02",Criterios!A8,1)),ISNUMBER(FIND("03",Criterios!A8,1)),ISNUMBER(FIND("04",Criterios!A8,1))),(J19-Y19+K19)/(F19-K19),(I19-Y19+K19)/(F19-K19))</f>
        <v>-0.66787003610108309</v>
      </c>
      <c r="AR19" s="837">
        <f>IF(ISNUMBER((Datos!P19-Datos!Q19+O19)/(Datos!R19-Datos!P19+Datos!Q19-O19)),(Datos!P19-Datos!Q19+O19)/(Datos!R19-Datos!P19+Datos!Q19-O19)," - ")</f>
        <v>5.858310626702997E-2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159.92602456552632</v>
      </c>
      <c r="G21" s="555">
        <f>IF(ISNUMBER(STDEV(G8:G18)),STDEV(G8:G18),"-")</f>
        <v>146.92957496705691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22.503333086456326</v>
      </c>
      <c r="AK21" s="255"/>
      <c r="AL21" s="255">
        <f>IF(ISNUMBER(STDEV(AL8:AL18)),STDEV(AL8:AL18),"-")</f>
        <v>0</v>
      </c>
      <c r="AM21" s="257">
        <f>IF(ISNUMBER(STDEV(AM8:AM18)),STDEV(AM8:AM18),"-")</f>
        <v>0</v>
      </c>
      <c r="AN21" s="542">
        <f>IF(ISNUMBER(STDEV(AN8:AN18)),STDEV(AN8:AN18),"-")</f>
        <v>0</v>
      </c>
      <c r="AO21" s="543">
        <f>IF(ISNUMBER(STDEV(AO8:AO18)),STDEV(AO8:AO18),"-")</f>
        <v>1.2849986417287012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fFgh/oe+5gGdkvadHk7CLCGQZe5SFZt4kDtLsmSVyzAH4E4T4THcIVajWWZR8uWI6yVrqKpjtQ8e9eNWwu2QQ==" saltValue="OsVz2HZ2+jzTVUXF7/Sl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BAiNyxi6oyo3f05ZWRk9XhqaJRLqA8UdXyRig6lzQrXBqvSd7aBv4+NME2S94SBmtCtgEBTngxAD7/QxBdDhA==" saltValue="P1MBvwGh3DpMpf13Doot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nupkcm4vUqOnHdluE+qKRWNj1sWBpqD9ZVqjdaiXy/xT7fabGZbHLEsRABtazjs09/pnddzSyWoAZa13X9EpA==" saltValue="PD/KivOlNhZSORugfhwo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SEPULVEDA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0.17677669529663689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2PNhTGVtDZZbb/lBCujscbecWbyTlwNMI++U5I0d86IUHQXXjikWKKvlXdm+LrT1bt4gRiOS148iX6aZkYnKrw==" saltValue="liHshFHZz9jzhxznhXye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WJzr7AHYkp+cZ9QKBjfJGJw5kl5kmDQEYgh1SYMGZmRnvDVxB5R0lwi2pNPZNq4XQHj39ZltU2BoAcgOkwWSA==" saltValue="ofMZ7jhy6uo6DgCxTzb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SEPULVEDA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368</v>
      </c>
      <c r="D12" s="407">
        <f>IF(ISNUMBER(C12/Datos!BH12),C12/Datos!BH12," - ")</f>
        <v>368</v>
      </c>
      <c r="E12" s="406">
        <f>IF(ISNUMBER(IF(J_V="SI",Datos!J12,Datos!J12+Datos!Z12)),IF(J_V="SI",Datos!J12,Datos!J12+Datos!Z12)," - ")</f>
        <v>213</v>
      </c>
      <c r="F12" s="407">
        <f>IF(ISNUMBER(E12/B12),E12/B12," - ")</f>
        <v>213</v>
      </c>
      <c r="G12" s="406">
        <f>IF(ISNUMBER(IF(J_V="SI",Datos!K12,Datos!K12+Datos!AA12)),IF(J_V="SI",Datos!K12,Datos!K12+Datos!AA12)," - ")</f>
        <v>180</v>
      </c>
      <c r="H12" s="407">
        <f>IF(ISNUMBER(G12/B12),G12/B12," - ")</f>
        <v>180</v>
      </c>
      <c r="I12" s="406">
        <f>IF(ISNUMBER(IF(J_V="SI",Datos!L12,Datos!L12+Datos!AB12)),IF(J_V="SI",Datos!L12,Datos!L12+Datos!AB12)," - ")</f>
        <v>401</v>
      </c>
      <c r="J12" s="407">
        <f>IF(ISNUMBER(I12/B12),I12/B12," - ")</f>
        <v>401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368</v>
      </c>
      <c r="D13" s="853" t="str">
        <f>IF(ISNUMBER(C13/Datos!BI13),C13/Datos!BI13," - ")</f>
        <v xml:space="preserve"> - </v>
      </c>
      <c r="E13" s="852">
        <f>SUBTOTAL(9,E8:E12)</f>
        <v>213</v>
      </c>
      <c r="F13" s="853">
        <f>IF(ISNUMBER(E13/B13),E13/B13," - ")</f>
        <v>213</v>
      </c>
      <c r="G13" s="852">
        <f>SUBTOTAL(9,G8:G12)</f>
        <v>180</v>
      </c>
      <c r="H13" s="853">
        <f>IF(ISNUMBER(G13/B13),G13/B13," - ")</f>
        <v>180</v>
      </c>
      <c r="I13" s="852">
        <f>SUBTOTAL(9,I8:I12)</f>
        <v>401</v>
      </c>
      <c r="J13" s="853">
        <f>IF(ISNUMBER(I13/B13),I13/B13," - ")</f>
        <v>401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267</v>
      </c>
      <c r="D16" s="407">
        <f>IF(ISNUMBER(C16/Datos!BH16),C16/Datos!BH16," - ")</f>
        <v>267</v>
      </c>
      <c r="E16" s="406">
        <f>IF(ISNUMBER(IF(D_I="SI",Datos!J16,Datos!J16+Datos!AD16)),IF(D_I="SI",Datos!J16,Datos!J16+Datos!AD16)," - ")</f>
        <v>174</v>
      </c>
      <c r="F16" s="407">
        <f>IF(ISNUMBER(E16/B16),E16/B16," - ")</f>
        <v>174</v>
      </c>
      <c r="G16" s="406">
        <f>IF(ISNUMBER(IF(D_I="SI",Datos!K16,Datos!K16+Datos!AE16)),IF(D_I="SI",Datos!K16,Datos!K16+Datos!AE16)," - ")</f>
        <v>182</v>
      </c>
      <c r="H16" s="407">
        <f>IF(ISNUMBER(G16/B16),G16/B16," - ")</f>
        <v>182</v>
      </c>
      <c r="I16" s="406">
        <f>IF(ISNUMBER(IF(D_I="SI",Datos!L16,Datos!L16+Datos!AF16)),IF(D_I="SI",Datos!L16,Datos!L16+Datos!AF16)," - ")</f>
        <v>269</v>
      </c>
      <c r="J16" s="407">
        <f>IF(ISNUMBER(I16/B16),I16/B16," - ")</f>
        <v>269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3</v>
      </c>
      <c r="F17" s="407">
        <f>IF(ISNUMBER(E17/B17),E17/B17," - ")</f>
        <v>3</v>
      </c>
      <c r="G17" s="406">
        <f>IF(ISNUMBER(IF(D_I="SI",Datos!K17,Datos!K17+Datos!AE17)),IF(D_I="SI",Datos!K17,Datos!K17+Datos!AE17)," - ")</f>
        <v>3</v>
      </c>
      <c r="H17" s="407">
        <f>IF(ISNUMBER(G17/B17),G17/B17," - ")</f>
        <v>3</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274</v>
      </c>
      <c r="D18" s="853" t="str">
        <f>IF(ISNUMBER(C18/Datos!BI18),C18/Datos!BI18," - ")</f>
        <v xml:space="preserve"> - </v>
      </c>
      <c r="E18" s="852">
        <f>SUBTOTAL(9,E14:E17)</f>
        <v>177</v>
      </c>
      <c r="F18" s="853">
        <f>IF(ISNUMBER(E18/B18),E18/B18," - ")</f>
        <v>177</v>
      </c>
      <c r="G18" s="852">
        <f>SUBTOTAL(9,G14:G17)</f>
        <v>185</v>
      </c>
      <c r="H18" s="853">
        <f>IF(ISNUMBER(G18/B18),G18/B18," - ")</f>
        <v>185</v>
      </c>
      <c r="I18" s="852">
        <f>SUBTOTAL(9,I14:I17)</f>
        <v>276</v>
      </c>
      <c r="J18" s="853">
        <f>IF(ISNUMBER(I18/B18),I18/B18," - ")</f>
        <v>276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642</v>
      </c>
      <c r="D19" s="798" t="str">
        <f>IF(ISNUMBER(C19/Datos!BI19),C19/Datos!BI19," - ")</f>
        <v xml:space="preserve"> - </v>
      </c>
      <c r="E19" s="797">
        <f>SUBTOTAL(9,E9:E18)</f>
        <v>390</v>
      </c>
      <c r="F19" s="798">
        <f>IF(ISNUMBER(E19/B19),E19/B19," - ")</f>
        <v>390</v>
      </c>
      <c r="G19" s="797">
        <f>SUBTOTAL(9,G9:G18)</f>
        <v>365</v>
      </c>
      <c r="H19" s="798">
        <f>IF(ISNUMBER(G19/B19),G19/B19," - ")</f>
        <v>365</v>
      </c>
      <c r="I19" s="797">
        <f>SUBTOTAL(9,I9:I18)</f>
        <v>677</v>
      </c>
      <c r="J19" s="798">
        <f>IF(ISNUMBER(I19/B19),I19/B19," - ")</f>
        <v>677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wHbwDE9SXbXl82HfU+hlFEr55NPFV7UQV2SEPmlG9yKFGuU6wud4HtswyJUyTe8IZU9iBDt13MHvBtFhJTofQ==" saltValue="si37iutROR89oosVP4O7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SEPULVEDA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v>
      </c>
      <c r="AM12" s="693">
        <f>IF(ISNUMBER(Datos!N12+DatosP!N16),Datos!N12+DatosP!N16," - ")</f>
        <v>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6.6833333333333336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4.7814207650273222E-2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9</v>
      </c>
      <c r="AE13" s="942">
        <f t="shared" si="1"/>
        <v>0</v>
      </c>
      <c r="AF13" s="942">
        <f t="shared" si="1"/>
        <v>0</v>
      </c>
      <c r="AG13" s="942">
        <f t="shared" si="1"/>
        <v>0</v>
      </c>
      <c r="AH13" s="942">
        <f t="shared" si="1"/>
        <v>767</v>
      </c>
      <c r="AI13" s="942">
        <f t="shared" si="1"/>
        <v>0</v>
      </c>
      <c r="AJ13" s="942">
        <f t="shared" si="1"/>
        <v>0</v>
      </c>
      <c r="AK13" s="942">
        <f t="shared" si="1"/>
        <v>0</v>
      </c>
      <c r="AL13" s="942">
        <f t="shared" si="1"/>
        <v>45</v>
      </c>
      <c r="AM13" s="942">
        <f t="shared" si="1"/>
        <v>36</v>
      </c>
      <c r="AN13" s="942">
        <f t="shared" si="1"/>
        <v>0</v>
      </c>
      <c r="AO13" s="942">
        <f t="shared" si="1"/>
        <v>0</v>
      </c>
      <c r="AP13" s="947">
        <f>IF(ISNUMBER(((Datos!L13/Datos!K13)*11)/factor_trimestre),((Datos!L13/Datos!K13)*11)/factor_trimestre," - ")</f>
        <v>6.7068965517241388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4.7814207650273222E-2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4.4756756756756761</v>
      </c>
      <c r="AQ18" s="947">
        <f>IF(ISNUMBER(((Datos!M18/Datos!L18)*11)/factor_trimestre),((Datos!M18/Datos!L18)*11)/factor_trimestre," - ")</f>
        <v>0.45652173913043481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v>
      </c>
      <c r="AW18" s="949">
        <f>IF(ISNUMBER((Datos!Q18-Datos!R18)/(Datos!S18-Datos!Q18+Datos!R18)),(Datos!Q18-Datos!R18)/(Datos!S18-Datos!Q18+Datos!R18)," - ")</f>
        <v>-6.0975609756097563E-3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9</v>
      </c>
      <c r="AE19" s="960">
        <f t="shared" si="5"/>
        <v>0</v>
      </c>
      <c r="AF19" s="961">
        <f t="shared" si="5"/>
        <v>0</v>
      </c>
      <c r="AG19" s="961">
        <f t="shared" si="5"/>
        <v>0</v>
      </c>
      <c r="AH19" s="961">
        <f t="shared" si="5"/>
        <v>767</v>
      </c>
      <c r="AI19" s="961">
        <f t="shared" si="5"/>
        <v>0</v>
      </c>
      <c r="AJ19" s="962">
        <f t="shared" si="5"/>
        <v>0</v>
      </c>
      <c r="AK19" s="962">
        <f t="shared" si="5"/>
        <v>0</v>
      </c>
      <c r="AL19" s="954">
        <f t="shared" si="5"/>
        <v>45</v>
      </c>
      <c r="AM19" s="954">
        <f t="shared" si="5"/>
        <v>36</v>
      </c>
      <c r="AN19" s="954">
        <f t="shared" si="5"/>
        <v>0</v>
      </c>
      <c r="AO19" s="954">
        <f t="shared" si="5"/>
        <v>0</v>
      </c>
      <c r="AP19" s="954">
        <f>IF(ISNUMBER(((Datos!L19/Datos!K19)*11)/factor_trimestre),((Datos!L19/Datos!K19)*11)/factor_trimestre," - ")</f>
        <v>5.5571030640668519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5.858310626702997E-2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25.98076211353316</v>
      </c>
      <c r="AM21" s="739"/>
      <c r="AN21" s="739">
        <f>IF(ISNUMBER(STDEV(AN8:AN18)),STDEV(AN8:AN18),"-")</f>
        <v>0</v>
      </c>
      <c r="AO21" s="745">
        <f>IF(ISNUMBER(STDEV(AO8:AO18)),STDEV(AO8:AO18),"-")</f>
        <v>0</v>
      </c>
      <c r="AP21" s="782">
        <f>IF(ISNUMBER(STDEV(AP8:AP18)),STDEV(AP8:AP18),"-")</f>
        <v>1.2814480192598501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EZYeJ1JfAlerM+t3Pp2BvHeirMW0/9SjwuYCknS9SfgIJM0yatVADQmA3JlZEekdWuwQWj+GIm+2qnIY4jwAg==" saltValue="D3qomXvNDvlQJy+4mnGz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SEGOVIA</v>
      </c>
      <c r="C3" s="418"/>
      <c r="F3" s="378"/>
      <c r="G3" s="378"/>
      <c r="H3" s="378"/>
    </row>
    <row r="4" spans="1:15" ht="13.5" thickBot="1">
      <c r="A4" s="378"/>
      <c r="B4" s="394" t="str">
        <f>Criterios!A11 &amp;"  "&amp;Criterios!B11</f>
        <v>Resumenes por Partidos Judiciales  SEPULVEDA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kol18jAUN5fN0zCLsnyILxznleCPwfamhE9kmCbw7iWs4yGjQ8wzoKeaRgDY+ljwEmPSH5QdjPmaTsRjX8kHQ==" saltValue="w65EE6L7Og/TE3OCnkO/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SEPULVEDA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45</v>
      </c>
      <c r="E12" s="407">
        <f t="shared" si="0"/>
        <v>45</v>
      </c>
      <c r="F12" s="406">
        <f>IF(ISNUMBER(Datos!N12),Datos!N12," - ")</f>
        <v>36</v>
      </c>
      <c r="G12" s="407">
        <f t="shared" si="1"/>
        <v>36</v>
      </c>
      <c r="H12" s="406">
        <f>IF(ISNUMBER(Datos!O12),Datos!O12," - ")</f>
        <v>98</v>
      </c>
      <c r="I12" s="407">
        <f t="shared" si="2"/>
        <v>98</v>
      </c>
    </row>
    <row r="13" spans="1:9" ht="14.25" thickTop="1" thickBot="1">
      <c r="A13" s="851" t="str">
        <f>Datos!A13</f>
        <v>TOTAL</v>
      </c>
      <c r="B13" s="852">
        <f>Datos!AO13</f>
        <v>2</v>
      </c>
      <c r="C13" s="854">
        <f>Datos!AR13</f>
        <v>1</v>
      </c>
      <c r="D13" s="852">
        <f>SUBTOTAL(9,D9:D12)</f>
        <v>45</v>
      </c>
      <c r="E13" s="853">
        <f t="shared" si="0"/>
        <v>22.5</v>
      </c>
      <c r="F13" s="852">
        <f>SUBTOTAL(9,F9:F12)</f>
        <v>36</v>
      </c>
      <c r="G13" s="853">
        <f t="shared" si="1"/>
        <v>18</v>
      </c>
      <c r="H13" s="852">
        <f>SUBTOTAL(9,H9:H12)</f>
        <v>98</v>
      </c>
      <c r="I13" s="853">
        <f>IF(ISNUMBER(H13/B13),H13/B13," - ")</f>
        <v>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42</v>
      </c>
      <c r="E16" s="407">
        <f t="shared" si="3"/>
        <v>42</v>
      </c>
      <c r="F16" s="406">
        <f>IF(ISNUMBER(Datos!N16),Datos!N16," - ")</f>
        <v>69</v>
      </c>
      <c r="G16" s="407">
        <f t="shared" si="4"/>
        <v>69</v>
      </c>
      <c r="H16" s="406">
        <f>IF(ISNUMBER(Datos!O16),Datos!O16," - ")</f>
        <v>8</v>
      </c>
      <c r="I16" s="407">
        <f t="shared" si="5"/>
        <v>8</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42</v>
      </c>
      <c r="E18" s="853">
        <f t="shared" si="3"/>
        <v>21</v>
      </c>
      <c r="F18" s="852">
        <f>SUBTOTAL(9,F15:F17)</f>
        <v>72</v>
      </c>
      <c r="G18" s="853">
        <f t="shared" si="4"/>
        <v>36</v>
      </c>
      <c r="H18" s="852">
        <f>SUBTOTAL(9,H15:H17)</f>
        <v>8</v>
      </c>
      <c r="I18" s="853">
        <f>IF(ISNUMBER(H18/B18),H18/B18," - ")</f>
        <v>4</v>
      </c>
    </row>
    <row r="19" spans="1:9" ht="14.25" thickTop="1" thickBot="1">
      <c r="A19" s="796" t="str">
        <f>Datos!A19</f>
        <v>TOTAL JURISDICCIONES</v>
      </c>
      <c r="B19" s="797">
        <f>Datos!AP19</f>
        <v>1</v>
      </c>
      <c r="C19" s="797">
        <f>Datos!AR19</f>
        <v>1</v>
      </c>
      <c r="D19" s="797">
        <f>SUBTOTAL(9,D8:D18)</f>
        <v>87</v>
      </c>
      <c r="E19" s="798">
        <f>IF(ISNUMBER(D19/B19),D19/B19," - ")</f>
        <v>87</v>
      </c>
      <c r="F19" s="797">
        <f>SUBTOTAL(9,F8:F18)</f>
        <v>108</v>
      </c>
      <c r="G19" s="798">
        <f>IF(ISNUMBER(F19/B19),F19/B19," - ")</f>
        <v>108</v>
      </c>
      <c r="H19" s="797">
        <f>SUBTOTAL(9,H8:H18)</f>
        <v>106</v>
      </c>
      <c r="I19" s="798">
        <f>IF(ISNUMBER(H19/B19),H19/B19," - ")</f>
        <v>106</v>
      </c>
    </row>
    <row r="22" spans="1:9">
      <c r="A22" s="394" t="str">
        <f>Criterios!A4</f>
        <v>Fecha Informe: 07 mar. 2024</v>
      </c>
    </row>
    <row r="27" spans="1:9">
      <c r="A27" s="417"/>
    </row>
  </sheetData>
  <sheetProtection algorithmName="SHA-512" hashValue="CdcQfb8zR8ef8qi5F3JUaj4aIQkTp6balgh7+a+1LJwC59njYC5swp//isuRsXoVdjadDCrqX0RGNPcZXhY6nQ==" saltValue="45OocR4crG9GHzXdMzEl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SEPULVEDA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44</v>
      </c>
      <c r="C12" s="437">
        <f>IF(ISNUMBER(Datos!Q12),Datos!Q12," - ")</f>
        <v>9</v>
      </c>
      <c r="D12" s="411">
        <f>IF(ISNUMBER(Datos!R12),Datos!R12," - ")</f>
        <v>767</v>
      </c>
    </row>
    <row r="13" spans="1:4" ht="14.25" thickTop="1" thickBot="1">
      <c r="A13" s="851" t="str">
        <f>Datos!A13</f>
        <v>TOTAL</v>
      </c>
      <c r="B13" s="852">
        <f>SUBTOTAL(9,B9:B12)</f>
        <v>44</v>
      </c>
      <c r="C13" s="856">
        <f>SUBTOTAL(9,C9:C12)</f>
        <v>9</v>
      </c>
      <c r="D13" s="854">
        <f>SUBTOTAL(9,D9:D12)</f>
        <v>767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8</v>
      </c>
      <c r="D16" s="411">
        <f>IF(ISNUMBER(Datos!R16),Datos!R16," - ")</f>
        <v>10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16</v>
      </c>
      <c r="C18" s="856">
        <f>SUBTOTAL(9,C15:C17)</f>
        <v>8</v>
      </c>
      <c r="D18" s="854">
        <f>SUBTOTAL(9,D15:D17)</f>
        <v>10</v>
      </c>
    </row>
    <row r="19" spans="1:4" ht="16.5" customHeight="1" thickTop="1" thickBot="1">
      <c r="A19" s="796" t="str">
        <f>Datos!A19</f>
        <v>TOTAL JURISDICCIONES</v>
      </c>
      <c r="B19" s="801">
        <f>SUBTOTAL(9,B8:B18)</f>
        <v>60</v>
      </c>
      <c r="C19" s="802">
        <f>SUBTOTAL(9,C8:C18)</f>
        <v>17</v>
      </c>
      <c r="D19" s="803">
        <f>SUBTOTAL(9,D8:D18)</f>
        <v>777</v>
      </c>
    </row>
    <row r="20" spans="1:4" ht="7.5" customHeight="1"/>
    <row r="21" spans="1:4" ht="6" customHeight="1"/>
    <row r="22" spans="1:4">
      <c r="A22" s="394" t="str">
        <f>Criterios!A4</f>
        <v>Fecha Informe: 07 mar. 2024</v>
      </c>
    </row>
    <row r="27" spans="1:4">
      <c r="A27" s="417"/>
    </row>
  </sheetData>
  <sheetProtection algorithmName="SHA-512" hashValue="omcjncEMWiBpgfZGSB3NBnpXGGnpEG0Dy9TPflkKrwmQLdx9giIdQmQSmc7RuW1YEmEqQDaFGbuSK5gJqeIu6w==" saltValue="uPIRnUtEJhe2sFU3vSo2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SEPULVEDA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-1</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1.098901098901099E-2</v>
      </c>
      <c r="C12" s="459">
        <f>IF(ISNUMBER(
   IF(J_V="SI",(Datos!J12-Datos!T12)/Datos!T12,(Datos!J12+Datos!Z12-(Datos!T12+Datos!AH12))/(Datos!T12+Datos!AH12))
     ),IF(J_V="SI",(Datos!J12-Datos!T12)/Datos!T12,(Datos!J12+Datos!Z12-(Datos!T12+Datos!AH12))/(Datos!T12+Datos!AH12))," - ")</f>
        <v>0.44897959183673469</v>
      </c>
      <c r="D12" s="459">
        <f>IF(ISNUMBER(
   IF(J_V="SI",(Datos!K12-Datos!U12)/Datos!U12,(Datos!K12+Datos!AA12-(Datos!U12+Datos!AI12))/(Datos!U12+Datos!AI12))
     ),IF(J_V="SI",(Datos!K12-Datos!U12)/Datos!U12,(Datos!K12+Datos!AA12-(Datos!U12+Datos!AI12))/(Datos!U12+Datos!AI12))," - ")</f>
        <v>-6.7357512953367879E-2</v>
      </c>
      <c r="E12" s="459">
        <f>IF(ISNUMBER(
   IF(J_V="SI",(Datos!L12-Datos!V12)/Datos!V12,(Datos!L12+Datos!AB12-(Datos!V12+Datos!AJ12))/(Datos!V12+Datos!AJ12))
     ),IF(J_V="SI",(Datos!L12-Datos!V12)/Datos!V12,(Datos!L12+Datos!AB12-(Datos!V12+Datos!AJ12))/(Datos!V12+Datos!AJ12))," - ")</f>
        <v>0.2610062893081761</v>
      </c>
      <c r="F12" s="459">
        <f>IF(ISNUMBER((Datos!M12-Datos!W12)/Datos!W12),(Datos!M12-Datos!W12)/Datos!W12," - ")</f>
        <v>0.3235294117647059</v>
      </c>
      <c r="G12" s="460">
        <f>IF(ISNUMBER((Datos!N12-Datos!X12)/Datos!X12),(Datos!N12-Datos!X12)/Datos!X12," - ")</f>
        <v>-0.44615384615384618</v>
      </c>
      <c r="H12" s="458">
        <f>IF(ISNUMBER(((NºAsuntos!G12/NºAsuntos!E12)-Datos!BD12)/Datos!BD12),((NºAsuntos!G12/NºAsuntos!E12)-Datos!BD12)/Datos!BD12," - ")</f>
        <v>-0.35634532584105666</v>
      </c>
      <c r="I12" s="459">
        <f>IF(ISNUMBER(((NºAsuntos!I12/NºAsuntos!G12)-Datos!BE12)/Datos!BE12),((NºAsuntos!I12/NºAsuntos!G12)-Datos!BE12)/Datos!BE12," - ")</f>
        <v>0.35207896575821102</v>
      </c>
      <c r="J12" s="464">
        <f>IF(ISNUMBER((('Resol  Asuntos'!D12/NºAsuntos!G12)-Datos!BF12)/Datos!BF12),(('Resol  Asuntos'!D12/NºAsuntos!G12)-Datos!BF12)/Datos!BF12," - ")</f>
        <v>-0.25769230769230766</v>
      </c>
      <c r="K12" s="465">
        <f>IF(ISNUMBER((((NºAsuntos!C12+NºAsuntos!E12)/NºAsuntos!G12)-Datos!BG12)/Datos!BG12),(((NºAsuntos!C12+NºAsuntos!E12)/NºAsuntos!G12)-Datos!BG12)/Datos!BG12," - ")</f>
        <v>0.21910197869101977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-5.4054054054054057E-3</v>
      </c>
      <c r="C13" s="858">
        <f>IF(ISNUMBER(
   IF(J_V="SI",(Datos!J13-Datos!T13)/Datos!T13,(Datos!J13+Datos!Z13-(Datos!T13+Datos!AH13))/(Datos!T13+Datos!AH13))
     ),IF(J_V="SI",(Datos!J13-Datos!T13)/Datos!T13,(Datos!J13+Datos!Z13-(Datos!T13+Datos!AH13))/(Datos!T13+Datos!AH13))," - ")</f>
        <v>0.4391891891891892</v>
      </c>
      <c r="D13" s="858">
        <f>IF(ISNUMBER(
   IF(J_V="SI",(Datos!K13-Datos!U13)/Datos!U13,(Datos!K13+Datos!AA13-(Datos!U13+Datos!AI13))/(Datos!U13+Datos!AI13))
     ),IF(J_V="SI",(Datos!K13-Datos!U13)/Datos!U13,(Datos!K13+Datos!AA13-(Datos!U13+Datos!AI13))/(Datos!U13+Datos!AI13))," - ")</f>
        <v>-7.2164948453608241E-2</v>
      </c>
      <c r="E13" s="858">
        <f>IF(ISNUMBER(
   IF(J_V="SI",(Datos!L13-Datos!V13)/Datos!V13,(Datos!L13+Datos!AB13-(Datos!V13+Datos!AJ13))/(Datos!V13+Datos!AJ13))
     ),IF(J_V="SI",(Datos!L13-Datos!V13)/Datos!V13,(Datos!L13+Datos!AB13-(Datos!V13+Datos!AJ13))/(Datos!V13+Datos!AJ13))," - ")</f>
        <v>0.23765432098765432</v>
      </c>
      <c r="F13" s="859">
        <f>IF(ISNUMBER((Datos!M13-Datos!W13)/Datos!W13),(Datos!M13-Datos!W13)/Datos!W13," - ")</f>
        <v>0.3235294117647059</v>
      </c>
      <c r="G13" s="860">
        <f>IF(ISNUMBER((Datos!N13-Datos!X13)/Datos!X13),(Datos!N13-Datos!X13)/Datos!X13," - ")</f>
        <v>-0.44615384615384618</v>
      </c>
      <c r="H13" s="860">
        <f>IF(ISNUMBER(((NºAsuntos!G13/NºAsuntos!E13)-Datos!BD13)/Datos!BD13),((NºAsuntos!G13/NºAsuntos!E13)-Datos!BD13)/Datos!BD13," - ")</f>
        <v>-0.35530710033396251</v>
      </c>
      <c r="I13" s="860">
        <f>IF(ISNUMBER(((NºAsuntos!I13/NºAsuntos!G13)-Datos!BE13)/Datos!BE13),((NºAsuntos!I13/NºAsuntos!G13)-Datos!BE13)/Datos!BE13," - ")</f>
        <v>0.33391632373113855</v>
      </c>
      <c r="J13" s="860">
        <f>IF(ISNUMBER((('Resol  Asuntos'!D13/NºAsuntos!G13)-Datos!BF13)/Datos!BF13),(('Resol  Asuntos'!D13/NºAsuntos!G13)-Datos!BF13)/Datos!BF13," - ")</f>
        <v>-0.25384615384615378</v>
      </c>
      <c r="K13" s="860">
        <f>IF(ISNUMBER((((NºAsuntos!C13+NºAsuntos!E13)/NºAsuntos!G13)-Datos!BG13)/Datos!BG13),(((NºAsuntos!C13+NºAsuntos!E13)/NºAsuntos!G13)-Datos!BG13)/Datos!BG13," - ")</f>
        <v>0.20885885885885896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-0.16300940438871472</v>
      </c>
      <c r="C16" s="459">
        <f>IF(ISNUMBER(
   IF(D_I="SI",(Datos!J16-Datos!T16)/Datos!T16,(Datos!J16+Datos!AD16-(Datos!T16+Datos!AL16))/(Datos!T16+Datos!AL16))
     ),IF(D_I="SI",(Datos!J16-Datos!T16)/Datos!T16,(Datos!J16+Datos!AD16-(Datos!T16+Datos!AL16))/(Datos!T16+Datos!AL16))," - ")</f>
        <v>0.15231788079470199</v>
      </c>
      <c r="D16" s="459">
        <f>IF(ISNUMBER(
   IF(D_I="SI",(Datos!K16-Datos!U16)/Datos!U16,(Datos!K16+Datos!AE16-(Datos!U16+Datos!AM16))/(Datos!U16+Datos!AM16))
     ),IF(D_I="SI",(Datos!K16-Datos!U16)/Datos!U16,(Datos!K16+Datos!AE16-(Datos!U16+Datos!AM16))/(Datos!U16+Datos!AM16))," - ")</f>
        <v>0.21333333333333335</v>
      </c>
      <c r="E16" s="459">
        <f>IF(ISNUMBER(
   IF(D_I="SI",(Datos!L16-Datos!V16)/Datos!V16,(Datos!L16+Datos!AF16-(Datos!V16+Datos!AN16))/(Datos!V16+Datos!AN16))
     ),IF(D_I="SI",(Datos!L16-Datos!V16)/Datos!V16,(Datos!L16+Datos!AF16-(Datos!V16+Datos!AN16))/(Datos!V16+Datos!AN16))," - ")</f>
        <v>-0.15937499999999999</v>
      </c>
      <c r="F16" s="459">
        <f>IF(ISNUMBER((Datos!M16-Datos!W16)/Datos!W16),(Datos!M16-Datos!W16)/Datos!W16," - ")</f>
        <v>0.4</v>
      </c>
      <c r="G16" s="460">
        <f>IF(ISNUMBER((Datos!N16-Datos!X16)/Datos!X16),(Datos!N16-Datos!X16)/Datos!X16," - ")</f>
        <v>-0.33653846153846156</v>
      </c>
      <c r="H16" s="458">
        <f>IF(ISNUMBER(((NºAsuntos!G16/NºAsuntos!E16)-Datos!BD16)/Datos!BD16),((NºAsuntos!G16/NºAsuntos!E16)-Datos!BD16)/Datos!BD16," - ")</f>
        <v>5.2950191570881204E-2</v>
      </c>
      <c r="I16" s="459">
        <f>IF(ISNUMBER(((NºAsuntos!I16/NºAsuntos!G16)-Datos!BE16)/Datos!BE16),((NºAsuntos!I16/NºAsuntos!G16)-Datos!BE16)/Datos!BE16," - ")</f>
        <v>-0.30717719780219777</v>
      </c>
      <c r="J16" s="464">
        <f>IF(ISNUMBER((('Resol  Asuntos'!D16/NºAsuntos!G16)-Datos!BF16)/Datos!BF16),(('Resol  Asuntos'!D16/NºAsuntos!G16)-Datos!BF16)/Datos!BF16," - ")</f>
        <v>0.15384615384615385</v>
      </c>
      <c r="K16" s="465">
        <f>IF(ISNUMBER((((NºAsuntos!C16+NºAsuntos!E16)/NºAsuntos!G16)-Datos!BG16)/Datos!BG16),(((NºAsuntos!C16+NºAsuntos!E16)/NºAsuntos!G16)-Datos!BG16)/Datos!BG16," - ")</f>
        <v>-0.22667757774140757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-0.625</v>
      </c>
      <c r="D17" s="459">
        <f>IF(ISNUMBER(
   IF(D_I="SI",(Datos!K17-Datos!U17)/Datos!U17,(Datos!K17+Datos!AE17-(Datos!U17+Datos!AM17))/(Datos!U17+Datos!AM17))
     ),IF(D_I="SI",(Datos!K17-Datos!U17)/Datos!U17,(Datos!K17+Datos!AE17-(Datos!U17+Datos!AM17))/(Datos!U17+Datos!AM17))," - ")</f>
        <v>-0.625</v>
      </c>
      <c r="E17" s="459">
        <f>IF(ISNUMBER(
   IF(D_I="SI",(Datos!L17-Datos!V17)/Datos!V17,(Datos!L17+Datos!AF17-(Datos!V17+Datos!AN17))/(Datos!V17+Datos!AN17))
     ),IF(D_I="SI",(Datos!L17-Datos!V17)/Datos!V17,(Datos!L17+Datos!AF17-(Datos!V17+Datos!AN17))/(Datos!V17+Datos!AN17))," - ")</f>
        <v>0</v>
      </c>
      <c r="F17" s="459">
        <f>IF(ISNUMBER((Datos!M17-Datos!W17)/Datos!W17),(Datos!M17-Datos!W17)/Datos!W17," - ")</f>
        <v>-1</v>
      </c>
      <c r="G17" s="460">
        <f>IF(ISNUMBER((Datos!N17-Datos!X17)/Datos!X17),(Datos!N17-Datos!X17)/Datos!X17," - ")</f>
        <v>-0.625</v>
      </c>
      <c r="H17" s="458">
        <f>IF(ISNUMBER(((NºAsuntos!G17/NºAsuntos!E17)-Datos!BD17)/Datos!BD17),((NºAsuntos!G17/NºAsuntos!E17)-Datos!BD17)/Datos!BD17," - ")</f>
        <v>0</v>
      </c>
      <c r="I17" s="459">
        <f>IF(ISNUMBER(((NºAsuntos!I17/NºAsuntos!G17)-Datos!BE17)/Datos!BE17),((NºAsuntos!I17/NºAsuntos!G17)-Datos!BE17)/Datos!BE17," - ")</f>
        <v>1.6666666666666667</v>
      </c>
      <c r="J17" s="464">
        <f>IF(ISNUMBER((('Resol  Asuntos'!D17/NºAsuntos!G17)-Datos!BF17)/Datos!BF17),(('Resol  Asuntos'!D17/NºAsuntos!G17)-Datos!BF17)/Datos!BF17," - ")</f>
        <v>-1</v>
      </c>
      <c r="K17" s="465">
        <f>IF(ISNUMBER((((NºAsuntos!C17+NºAsuntos!E17)/NºAsuntos!G17)-Datos!BG17)/Datos!BG17),(((NºAsuntos!C17+NºAsuntos!E17)/NºAsuntos!G17)-Datos!BG17)/Datos!BG17," - ")</f>
        <v>0.7777777777777779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-0.15950920245398773</v>
      </c>
      <c r="C18" s="858">
        <f>IF(ISNUMBER(
   IF(Criterios!B14="SI",(Datos!J18-Datos!T18)/Datos!T18,(Datos!J18+Datos!AD18-(Datos!T18+Datos!AL18))/(Datos!T18+Datos!AL18))
     ),IF(Criterios!B14="SI",(Datos!J18-Datos!T18)/Datos!T18,(Datos!J18+Datos!AD18-(Datos!T18+Datos!AL18))/(Datos!T18+Datos!AL18))," - ")</f>
        <v>0.11320754716981132</v>
      </c>
      <c r="D18" s="858">
        <f>IF(ISNUMBER(
   IF(Criterios!B14="SI",(Datos!K18-Datos!U18)/Datos!U18,(Datos!K18+Datos!AE18-(Datos!U18+Datos!AM18))/(Datos!U18+Datos!AM18))
     ),IF(Criterios!B14="SI",(Datos!K18-Datos!U18)/Datos!U18,(Datos!K18+Datos!AE18-(Datos!U18+Datos!AM18))/(Datos!U18+Datos!AM18))," - ")</f>
        <v>0.17088607594936708</v>
      </c>
      <c r="E18" s="858">
        <f>IF(ISNUMBER(
   IF(Criterios!B14="SI",(Datos!L18-Datos!V18)/Datos!V18,(Datos!L18+Datos!AF18-(Datos!V18+Datos!AN18))/(Datos!V18+Datos!AN18))
     ),IF(Criterios!B14="SI",(Datos!L18-Datos!V18)/Datos!V18,(Datos!L18+Datos!AF18-(Datos!V18+Datos!AN18))/(Datos!V18+Datos!AN18))," - ")</f>
        <v>-0.15596330275229359</v>
      </c>
      <c r="F18" s="859">
        <f>IF(ISNUMBER((Datos!M18-Datos!W18)/Datos!W18),(Datos!M18-Datos!W18)/Datos!W18," - ")</f>
        <v>0.3125</v>
      </c>
      <c r="G18" s="860">
        <f>IF(ISNUMBER((Datos!N18-Datos!X18)/Datos!X18),(Datos!N18-Datos!X18)/Datos!X18," - ")</f>
        <v>-0.35714285714285715</v>
      </c>
      <c r="H18" s="860">
        <f>IF(ISNUMBER(((NºAsuntos!G18/NºAsuntos!E18)-Datos!BD18)/Datos!BD18),((NºAsuntos!G18/NºAsuntos!E18)-Datos!BD18)/Datos!BD18," - ")</f>
        <v>5.1812915683329783E-2</v>
      </c>
      <c r="I18" s="860">
        <f>IF(ISNUMBER(((NºAsuntos!I18/NºAsuntos!G18)-Datos!BE18)/Datos!BE18),((NºAsuntos!I18/NºAsuntos!G18)-Datos!BE18)/Datos!BE18," - ")</f>
        <v>-0.27914703694520204</v>
      </c>
      <c r="J18" s="860">
        <f>IF(ISNUMBER((('Resol  Asuntos'!D18/NºAsuntos!G18)-Datos!BF18)/Datos!BF18),(('Resol  Asuntos'!D18/NºAsuntos!G18)-Datos!BF18)/Datos!BF18," - ")</f>
        <v>0.12094594594594603</v>
      </c>
      <c r="K18" s="860">
        <f>IF(ISNUMBER((((NºAsuntos!C18+NºAsuntos!E18)/NºAsuntos!G18)-Datos!BG18)/Datos!BG18),(((NºAsuntos!C18+NºAsuntos!E18)/NºAsuntos!G18)-Datos!BG18)/Datos!BG18," - ")</f>
        <v>-0.20581777653942601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-7.7586206896551727E-2</v>
      </c>
      <c r="C19" s="805">
        <f>IF(ISNUMBER(
   IF(J_V="SI",(Datos!J19-Datos!T19)/Datos!T19,(Datos!J19+Datos!Z19-(Datos!T19+Datos!AH19))/(Datos!T19+Datos!AH19))
     ),IF(J_V="SI",(Datos!J19-Datos!T19)/Datos!T19,(Datos!J19+Datos!Z19-(Datos!T19+Datos!AH19))/(Datos!T19+Datos!AH19))," - ")</f>
        <v>0.27035830618892509</v>
      </c>
      <c r="D19" s="805">
        <f>IF(ISNUMBER(
   IF(J_V="SI",(Datos!K19-Datos!U19)/Datos!U19,(Datos!K19+Datos!AA19-(Datos!U19+Datos!AI19))/(Datos!U19+Datos!AI19))
     ),IF(J_V="SI",(Datos!K19-Datos!U19)/Datos!U19,(Datos!K19+Datos!AA19-(Datos!U19+Datos!AI19))/(Datos!U19+Datos!AI19))," - ")</f>
        <v>3.6931818181818184E-2</v>
      </c>
      <c r="E19" s="805">
        <f>IF(ISNUMBER(
   IF(J_V="SI",(Datos!L19-Datos!V19)/Datos!V19,(Datos!L19+Datos!AB19-(Datos!V19+Datos!AJ19))/(Datos!V19+Datos!AJ19))
     ),IF(J_V="SI",(Datos!L19-Datos!V19)/Datos!V19,(Datos!L19+Datos!AB19-(Datos!V19+Datos!AJ19))/(Datos!V19+Datos!AJ19))," - ")</f>
        <v>3.9938556067588324E-2</v>
      </c>
      <c r="F19" s="806">
        <f>IF(ISNUMBER((Datos!M19-Datos!W19)/Datos!W19),(Datos!M19-Datos!W19)/Datos!W19," - ")</f>
        <v>0.31818181818181818</v>
      </c>
      <c r="G19" s="807">
        <f>IF(ISNUMBER((Datos!N19-Datos!X19)/Datos!X19),(Datos!N19-Datos!X19)/Datos!X19," - ")</f>
        <v>-0.38983050847457629</v>
      </c>
      <c r="H19" s="808">
        <f>IF(ISNUMBER((Tasas!B19-Datos!BD19)/Datos!BD19),(Tasas!B19-Datos!BD19)/Datos!BD19," - ")</f>
        <v>-0.18374854312354316</v>
      </c>
      <c r="I19" s="809">
        <f>IF(ISNUMBER((Tasas!C19-Datos!BE19)/Datos!BE19),(Tasas!C19-Datos!BE19)/Datos!BE19," - ")</f>
        <v>2.8996485912085226E-3</v>
      </c>
      <c r="J19" s="810">
        <f>IF(ISNUMBER((Tasas!D19-Datos!BF19)/Datos!BF19),(Tasas!D19-Datos!BF19)/Datos!BF19," - ")</f>
        <v>-0.13503742409264233</v>
      </c>
      <c r="K19" s="810">
        <f>IF(ISNUMBER((Tasas!E19-Datos!BG19)/Datos!BG19),(Tasas!E19-Datos!BG19)/Datos!BG19," - ")</f>
        <v>-7.732965487100423E-3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pxFhR0PA6zZ6uRoddMa8pKIXQMN0FKjX3oiwynY4I37/tMSX0HZ4JdcPoNvqXKBvtDkOLAX3OXZycPi9Ihpg==" saltValue="SlOjK5T1SigMQfFHNtUF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SEPULVEDA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0.84507042253521125</v>
      </c>
      <c r="C12" s="446">
        <f>IF(ISNUMBER(NºAsuntos!I12/NºAsuntos!G12),NºAsuntos!I12/NºAsuntos!G12," - ")</f>
        <v>2.2277777777777779</v>
      </c>
      <c r="D12" s="447">
        <f>IF(ISNUMBER('Resol  Asuntos'!D12/NºAsuntos!G12),'Resol  Asuntos'!D12/NºAsuntos!G12," - ")</f>
        <v>0.25</v>
      </c>
      <c r="E12" s="448">
        <f>IF(ISNUMBER((NºAsuntos!C12+NºAsuntos!E12)/NºAsuntos!G12),(NºAsuntos!C12+NºAsuntos!E12)/NºAsuntos!G12," - ")</f>
        <v>3.2277777777777779</v>
      </c>
      <c r="G12" s="466"/>
    </row>
    <row r="13" spans="1:7" ht="14.25" thickTop="1" thickBot="1">
      <c r="A13" s="851" t="str">
        <f>Datos!A13</f>
        <v>TOTAL</v>
      </c>
      <c r="B13" s="861">
        <f>IF(ISNUMBER(NºAsuntos!G13/NºAsuntos!E13),NºAsuntos!G13/NºAsuntos!E13," - ")</f>
        <v>0.84507042253521125</v>
      </c>
      <c r="C13" s="862">
        <f>IF(ISNUMBER(NºAsuntos!I13/NºAsuntos!G13),NºAsuntos!I13/NºAsuntos!G13," - ")</f>
        <v>2.2277777777777779</v>
      </c>
      <c r="D13" s="863">
        <f>IF(ISNUMBER('Resol  Asuntos'!D13/NºAsuntos!G13),'Resol  Asuntos'!D13/NºAsuntos!G13," - ")</f>
        <v>0.25</v>
      </c>
      <c r="E13" s="864">
        <f>IF(ISNUMBER((NºAsuntos!C13+NºAsuntos!E13)/NºAsuntos!G13),(NºAsuntos!C13+NºAsuntos!E13)/NºAsuntos!G13," - ")</f>
        <v>3.2277777777777779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1.0459770114942528</v>
      </c>
      <c r="C16" s="446">
        <f>IF(ISNUMBER(NºAsuntos!I16/NºAsuntos!G16),NºAsuntos!I16/NºAsuntos!G16," - ")</f>
        <v>1.4780219780219781</v>
      </c>
      <c r="D16" s="447">
        <f>IF(ISNUMBER('Resol  Asuntos'!D16/NºAsuntos!G16),'Resol  Asuntos'!D16/NºAsuntos!G16," - ")</f>
        <v>0.23076923076923078</v>
      </c>
      <c r="E16" s="448">
        <f>IF(ISNUMBER((NºAsuntos!C16+NºAsuntos!E16)/NºAsuntos!G16),(NºAsuntos!C16+NºAsuntos!E16)/NºAsuntos!G16," - ")</f>
        <v>2.4230769230769229</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2.3333333333333335</v>
      </c>
      <c r="D17" s="447">
        <f>IF(ISNUMBER('Resol  Asuntos'!D17/NºAsuntos!G17),'Resol  Asuntos'!D17/NºAsuntos!G17," - ")</f>
        <v>0</v>
      </c>
      <c r="E17" s="448">
        <f>IF(ISNUMBER((NºAsuntos!C17+NºAsuntos!E17)/NºAsuntos!G17),(NºAsuntos!C17+NºAsuntos!E17)/NºAsuntos!G17," - ")</f>
        <v>3.3333333333333335</v>
      </c>
      <c r="G17" s="466"/>
    </row>
    <row r="18" spans="1:7" ht="14.25" thickTop="1" thickBot="1">
      <c r="A18" s="851" t="str">
        <f>Datos!A18</f>
        <v>TOTAL</v>
      </c>
      <c r="B18" s="861">
        <f>IF(ISNUMBER(NºAsuntos!G18/NºAsuntos!E18),NºAsuntos!G18/NºAsuntos!E18," - ")</f>
        <v>1.0451977401129944</v>
      </c>
      <c r="C18" s="862">
        <f>IF(ISNUMBER(NºAsuntos!I18/NºAsuntos!G18),NºAsuntos!I18/NºAsuntos!G18," - ")</f>
        <v>1.491891891891892</v>
      </c>
      <c r="D18" s="865">
        <f>IF(ISNUMBER('Resol  Asuntos'!D18/NºAsuntos!G18),'Resol  Asuntos'!D18/NºAsuntos!G18," - ")</f>
        <v>0.22702702702702704</v>
      </c>
      <c r="E18" s="864">
        <f>IF(ISNUMBER((NºAsuntos!C18+NºAsuntos!E18)/NºAsuntos!G18),(NºAsuntos!C18+NºAsuntos!E18)/NºAsuntos!G18," - ")</f>
        <v>2.4378378378378378</v>
      </c>
      <c r="G18" s="466"/>
    </row>
    <row r="19" spans="1:7" ht="15.75" customHeight="1" thickTop="1" thickBot="1">
      <c r="A19" s="796" t="str">
        <f>Datos!A19</f>
        <v>TOTAL JURISDICCIONES</v>
      </c>
      <c r="B19" s="811">
        <f>IF(ISNUMBER(NºAsuntos!G19/NºAsuntos!E19),NºAsuntos!G19/NºAsuntos!E19," - ")</f>
        <v>0.9358974358974359</v>
      </c>
      <c r="C19" s="812">
        <f>IF(ISNUMBER(NºAsuntos!I19/NºAsuntos!G19),NºAsuntos!I19/NºAsuntos!G19," - ")</f>
        <v>1.8547945205479452</v>
      </c>
      <c r="D19" s="813">
        <f>IF(ISNUMBER('Resol  Asuntos'!D19/NºAsuntos!G19),'Resol  Asuntos'!D19/NºAsuntos!G19," - ")</f>
        <v>0.23835616438356164</v>
      </c>
      <c r="E19" s="814">
        <f>IF(ISNUMBER((NºAsuntos!C19+NºAsuntos!E19)/NºAsuntos!G19),(NºAsuntos!C19+NºAsuntos!E19)/NºAsuntos!G19," - ")</f>
        <v>2.8273972602739725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oaLsG0M0unATEMXGBJmt1WqiRGHnqQarrXqlkAwMNSn0DOLvGOoyX2SFIG3igbWMZE14C3Wd81pQHdF7rikxg==" saltValue="0jtuYjthpNzdZdDLenO2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SEPULVEDA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v>
      </c>
      <c r="Y12" s="337">
        <f t="shared" si="0"/>
        <v>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v>
      </c>
      <c r="AJ12" s="232" t="str">
        <f>IF(ISNUMBER(Datos!BW12),Datos!BW12," - ")</f>
        <v xml:space="preserve"> - </v>
      </c>
      <c r="AK12" s="231" t="str">
        <f>IF(ISNUMBER(Datos!BX12),Datos!BX12," - ")</f>
        <v xml:space="preserve"> - </v>
      </c>
      <c r="AL12" s="246">
        <f>IF(ISNUMBER(NºAsuntos!G12/NºAsuntos!E12),NºAsuntos!G12/NºAsuntos!E12," - ")</f>
        <v>0.84507042253521125</v>
      </c>
      <c r="AM12" s="263">
        <f>IF(ISNUMBER(((NºAsuntos!I12/NºAsuntos!G12)*11)/factor_trimestre),((NºAsuntos!I12/NºAsuntos!G12)*11)/factor_trimestre," - ")</f>
        <v>6.6833333333333336</v>
      </c>
      <c r="AN12" s="247">
        <f>IF(ISNUMBER('Resol  Asuntos'!D12/NºAsuntos!G12),'Resol  Asuntos'!D12/NºAsuntos!G12," - ")</f>
        <v>0.25</v>
      </c>
      <c r="AO12" s="248">
        <f>IF(ISNUMBER((NºAsuntos!C12+NºAsuntos!E12)/NºAsuntos!G12),(NºAsuntos!C12+NºAsuntos!E12)/NºAsuntos!G12," - ")</f>
        <v>3.2277777777777779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9</v>
      </c>
      <c r="Y13" s="871">
        <f t="shared" si="4"/>
        <v>9</v>
      </c>
      <c r="Z13" s="871">
        <f t="shared" si="4"/>
        <v>0</v>
      </c>
      <c r="AA13" s="871">
        <f t="shared" si="4"/>
        <v>0</v>
      </c>
      <c r="AB13" s="871">
        <f t="shared" si="4"/>
        <v>767</v>
      </c>
      <c r="AC13" s="871">
        <f t="shared" si="4"/>
        <v>0</v>
      </c>
      <c r="AD13" s="871">
        <f t="shared" si="4"/>
        <v>0</v>
      </c>
      <c r="AE13" s="875">
        <f t="shared" si="4"/>
        <v>0</v>
      </c>
      <c r="AF13" s="868">
        <f t="shared" si="4"/>
        <v>0</v>
      </c>
      <c r="AG13" s="876">
        <f t="shared" si="4"/>
        <v>0</v>
      </c>
      <c r="AH13" s="873">
        <f t="shared" si="4"/>
        <v>0</v>
      </c>
      <c r="AI13" s="868">
        <f t="shared" si="4"/>
        <v>45</v>
      </c>
      <c r="AJ13" s="870">
        <f t="shared" si="4"/>
        <v>0</v>
      </c>
      <c r="AK13" s="873">
        <f>SUBTOTAL(9,AK9:AK12)</f>
        <v>0</v>
      </c>
      <c r="AL13" s="877">
        <f>IF(ISNUMBER(NºAsuntos!G13/NºAsuntos!E13),NºAsuntos!G13/NºAsuntos!E13," - ")</f>
        <v>0.84507042253521125</v>
      </c>
      <c r="AM13" s="877">
        <f>IF(ISNUMBER(((NºAsuntos!I13/NºAsuntos!G13)*11)/factor_trimestre),((NºAsuntos!I13/NºAsuntos!G13)*11)/factor_trimestre," - ")</f>
        <v>6.6833333333333336</v>
      </c>
      <c r="AN13" s="878">
        <f>IF(ISNUMBER('Resol  Asuntos'!D13/NºAsuntos!G13),'Resol  Asuntos'!D13/NºAsuntos!G13," - ")</f>
        <v>0.25</v>
      </c>
      <c r="AO13" s="879">
        <f>IF(ISNUMBER((NºAsuntos!C13+NºAsuntos!E13)/NºAsuntos!G13),(NºAsuntos!C13+NºAsuntos!E13)/NºAsuntos!G13," - ")</f>
        <v>3.2277777777777779</v>
      </c>
      <c r="AP13" s="880" t="str">
        <f t="shared" si="2"/>
        <v xml:space="preserve"> - </v>
      </c>
      <c r="AQ13" s="880" t="str">
        <f>IF(ISNUMBER((H13-W13+K13)/(F13)),(H13-W13+K13)/(F13)," - ")</f>
        <v xml:space="preserve"> - </v>
      </c>
      <c r="AR13" s="881">
        <f>IF(ISNUMBER((Datos!P13-Datos!Q13)/(Datos!R13-Datos!P13+Datos!Q13)),(Datos!P13-Datos!Q13)/(Datos!R13-Datos!P13+Datos!Q13)," - ")</f>
        <v>4.7814207650273222E-2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277</v>
      </c>
      <c r="G16" s="336">
        <f>IF(ISNUMBER(IF(D_I="SI",Datos!I16,Datos!I16+Datos!AC16)),IF(D_I="SI",Datos!I16,Datos!I16+Datos!AC16)," - ")</f>
        <v>267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182</v>
      </c>
      <c r="X16" s="229">
        <f>IF(ISNUMBER(Datos!Q16),Datos!Q16," - ")</f>
        <v>8</v>
      </c>
      <c r="Y16" s="337">
        <f t="shared" ref="Y16:Y17" si="7">SUM(W16:X16)</f>
        <v>190</v>
      </c>
      <c r="Z16" s="338" t="str">
        <f>IF(ISNUMBER(Datos!CC16),Datos!CC16," - ")</f>
        <v xml:space="preserve"> - </v>
      </c>
      <c r="AA16" s="335">
        <f>IF(ISNUMBER(IF(D_I="SI",Datos!L16,Datos!L16+Datos!AF16)),IF(D_I="SI",Datos!L16,Datos!L16+Datos!AF16)," - ")</f>
        <v>269</v>
      </c>
      <c r="AB16" s="337">
        <f>IF(ISNUMBER(Datos!R16),Datos!R16," - ")</f>
        <v>10</v>
      </c>
      <c r="AC16" s="337">
        <f t="shared" si="6"/>
        <v>279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42</v>
      </c>
      <c r="AJ16" s="234" t="str">
        <f>IF(ISNUMBER(Datos!BW16),Datos!BW16," - ")</f>
        <v xml:space="preserve"> - </v>
      </c>
      <c r="AK16" s="235" t="str">
        <f>IF(ISNUMBER(Datos!BX16),Datos!BX16," - ")</f>
        <v xml:space="preserve"> - </v>
      </c>
      <c r="AL16" s="246">
        <f>IF(ISNUMBER(NºAsuntos!G16/NºAsuntos!E16),NºAsuntos!G16/NºAsuntos!E16," - ")</f>
        <v>1.0459770114942528</v>
      </c>
      <c r="AM16" s="263">
        <f>IF(ISNUMBER(((NºAsuntos!I16/NºAsuntos!G16)*11)/factor_trimestre),((NºAsuntos!I16/NºAsuntos!G16)*11)/factor_trimestre," - ")</f>
        <v>4.4340659340659343</v>
      </c>
      <c r="AN16" s="247">
        <f>IF(ISNUMBER('Resol  Asuntos'!D16/NºAsuntos!G16),'Resol  Asuntos'!D16/NºAsuntos!G16," - ")</f>
        <v>0.23076923076923078</v>
      </c>
      <c r="AO16" s="248">
        <f>IF(ISNUMBER((NºAsuntos!C16+NºAsuntos!E16)/NºAsuntos!G16),(NºAsuntos!C16+NºAsuntos!E16)/NºAsuntos!G16," - ")</f>
        <v>2.4230769230769229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7.0000000000000009</v>
      </c>
      <c r="AN17" s="247">
        <f>IF(ISNUMBER('Resol  Asuntos'!D17/NºAsuntos!G17),'Resol  Asuntos'!D17/NºAsuntos!G17," - ")</f>
        <v>0</v>
      </c>
      <c r="AO17" s="248">
        <f>IF(ISNUMBER((NºAsuntos!C17+NºAsuntos!E17)/NºAsuntos!G17),(NºAsuntos!C17+NºAsuntos!E17)/NºAsuntos!G17," - ")</f>
        <v>3.3333333333333335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277</v>
      </c>
      <c r="G18" s="869">
        <f>SUBTOTAL(9,G15:G17)</f>
        <v>274</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185</v>
      </c>
      <c r="X18" s="870">
        <f t="shared" si="11"/>
        <v>8</v>
      </c>
      <c r="Y18" s="871">
        <f t="shared" si="11"/>
        <v>193</v>
      </c>
      <c r="Z18" s="871">
        <f t="shared" si="11"/>
        <v>0</v>
      </c>
      <c r="AA18" s="871">
        <f t="shared" si="11"/>
        <v>276</v>
      </c>
      <c r="AB18" s="871">
        <f t="shared" si="11"/>
        <v>10</v>
      </c>
      <c r="AC18" s="871">
        <f t="shared" si="11"/>
        <v>286</v>
      </c>
      <c r="AD18" s="871">
        <f t="shared" si="11"/>
        <v>0</v>
      </c>
      <c r="AE18" s="875">
        <f t="shared" si="11"/>
        <v>0</v>
      </c>
      <c r="AF18" s="868">
        <f t="shared" si="11"/>
        <v>0</v>
      </c>
      <c r="AG18" s="876">
        <f t="shared" si="11"/>
        <v>0</v>
      </c>
      <c r="AH18" s="873">
        <f t="shared" si="11"/>
        <v>0</v>
      </c>
      <c r="AI18" s="868">
        <f t="shared" si="11"/>
        <v>42</v>
      </c>
      <c r="AJ18" s="870">
        <f t="shared" si="11"/>
        <v>0</v>
      </c>
      <c r="AK18" s="873">
        <f t="shared" si="11"/>
        <v>0</v>
      </c>
      <c r="AL18" s="877">
        <f>IF(ISNUMBER(NºAsuntos!G18/NºAsuntos!E18),NºAsuntos!G18/NºAsuntos!E18," - ")</f>
        <v>1.0451977401129944</v>
      </c>
      <c r="AM18" s="877">
        <f>IF(ISNUMBER(((NºAsuntos!I18/NºAsuntos!G18)*11)/factor_trimestre),((NºAsuntos!I18/NºAsuntos!G18)*11)/factor_trimestre," - ")</f>
        <v>4.4756756756756761</v>
      </c>
      <c r="AN18" s="878">
        <f>IF(ISNUMBER('Resol  Asuntos'!D18/NºAsuntos!G18),'Resol  Asuntos'!D18/NºAsuntos!G18," - ")</f>
        <v>0.22702702702702704</v>
      </c>
      <c r="AO18" s="879">
        <f>IF(ISNUMBER((NºAsuntos!C18+NºAsuntos!E18)/NºAsuntos!G18),(NºAsuntos!C18+NºAsuntos!E18)/NºAsuntos!G18," - ")</f>
        <v>2.4378378378378378</v>
      </c>
      <c r="AP18" s="880" t="str">
        <f t="shared" si="2"/>
        <v xml:space="preserve"> - </v>
      </c>
      <c r="AQ18" s="880">
        <f>IF(ISNUMBER((H18-W18+K18)/(F18)),(H18-W18+K18)/(F18)," - ")</f>
        <v>-0.66787003610108309</v>
      </c>
      <c r="AR18" s="881">
        <f>IF(ISNUMBER((Datos!P18-Datos!Q18)/(Datos!R18-Datos!P18+Datos!Q18)),(Datos!P18-Datos!Q18)/(Datos!R18-Datos!P18+Datos!Q18)," - ")</f>
        <v>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277</v>
      </c>
      <c r="G19" s="824">
        <f t="shared" si="13"/>
        <v>274</v>
      </c>
      <c r="H19" s="823">
        <f t="shared" si="13"/>
        <v>0</v>
      </c>
      <c r="I19" s="825">
        <f t="shared" si="13"/>
        <v>0</v>
      </c>
      <c r="J19" s="825">
        <f t="shared" si="13"/>
        <v>0</v>
      </c>
      <c r="K19" s="884">
        <f t="shared" si="13"/>
        <v>0</v>
      </c>
      <c r="L19" s="825">
        <f t="shared" si="13"/>
        <v>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185</v>
      </c>
      <c r="X19" s="824">
        <f t="shared" si="14"/>
        <v>17</v>
      </c>
      <c r="Y19" s="831">
        <f t="shared" si="14"/>
        <v>202</v>
      </c>
      <c r="Z19" s="831">
        <f t="shared" si="14"/>
        <v>0</v>
      </c>
      <c r="AA19" s="831">
        <f t="shared" si="14"/>
        <v>276</v>
      </c>
      <c r="AB19" s="831">
        <f t="shared" si="14"/>
        <v>777</v>
      </c>
      <c r="AC19" s="831">
        <f t="shared" si="14"/>
        <v>286</v>
      </c>
      <c r="AD19" s="831">
        <f t="shared" si="14"/>
        <v>0</v>
      </c>
      <c r="AE19" s="833">
        <f t="shared" si="14"/>
        <v>0</v>
      </c>
      <c r="AF19" s="834">
        <f t="shared" si="14"/>
        <v>0</v>
      </c>
      <c r="AG19" s="835">
        <f t="shared" si="14"/>
        <v>0</v>
      </c>
      <c r="AH19" s="833">
        <f t="shared" si="14"/>
        <v>0</v>
      </c>
      <c r="AI19" s="823">
        <f t="shared" si="14"/>
        <v>87</v>
      </c>
      <c r="AJ19" s="823">
        <f t="shared" si="14"/>
        <v>0</v>
      </c>
      <c r="AK19" s="833">
        <f t="shared" si="14"/>
        <v>0</v>
      </c>
      <c r="AL19" s="887">
        <f>IF(ISNUMBER(NºAsuntos!G19/NºAsuntos!E19),NºAsuntos!G19/NºAsuntos!E19," - ")</f>
        <v>0.9358974358974359</v>
      </c>
      <c r="AM19" s="888">
        <f>IF(ISNUMBER(((NºAsuntos!I19/NºAsuntos!G19)*11)/factor_trimestre),((NºAsuntos!I19/NºAsuntos!G19)*11)/factor_trimestre," - ")</f>
        <v>5.5643835616438366</v>
      </c>
      <c r="AN19" s="888">
        <f>IF(ISNUMBER('Resol  Asuntos'!D19/NºAsuntos!G19),'Resol  Asuntos'!D19/NºAsuntos!G19," - ")</f>
        <v>0.23835616438356164</v>
      </c>
      <c r="AO19" s="889">
        <f>IF(ISNUMBER((NºAsuntos!C19+NºAsuntos!E19)/NºAsuntos!G19),(NºAsuntos!C19+NºAsuntos!E19)/NºAsuntos!G19," - ")</f>
        <v>2.8273972602739725</v>
      </c>
      <c r="AP19" s="890" t="str">
        <f t="shared" si="2"/>
        <v xml:space="preserve"> - </v>
      </c>
      <c r="AQ19" s="891">
        <f>IF(OR(ISNUMBER(FIND("01",Criterios!A8,1)),ISNUMBER(FIND("02",Criterios!A8,1)),ISNUMBER(FIND("03",Criterios!A8,1)),ISNUMBER(FIND("04",Criterios!A8,1))),(I19-W19+K19)/(F19-K19),(H19-W19+K19)/(F19-K19))</f>
        <v>-0.66787003610108309</v>
      </c>
      <c r="AR19" s="892">
        <f>IF(ISNUMBER((Datos!P19-Datos!Q19)/(Datos!R19-Datos!P19+Datos!Q19)),(Datos!P19-Datos!Q19)/(Datos!R19-Datos!P19+Datos!Q19)," - ")</f>
        <v>5.858310626702997E-2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159.92602456552632</v>
      </c>
      <c r="G21" s="256">
        <f>IF(ISNUMBER(STDEV(G8:G18)),STDEV(G8:G18),"-")</f>
        <v>146.92957496705691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99.972496217709804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22.503333086456326</v>
      </c>
      <c r="AJ21" s="255">
        <f t="shared" si="18"/>
        <v>0</v>
      </c>
      <c r="AK21" s="257">
        <f t="shared" si="18"/>
        <v>0</v>
      </c>
      <c r="AL21" s="252">
        <f t="shared" si="18"/>
        <v>0.1031970149675024</v>
      </c>
      <c r="AM21" s="253">
        <f t="shared" si="18"/>
        <v>1.2849986417287012</v>
      </c>
      <c r="AN21" s="253">
        <f t="shared" si="18"/>
        <v>0.10761154048340939</v>
      </c>
      <c r="AO21" s="254">
        <f t="shared" si="18"/>
        <v>0.45804355134772085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qVb9O1sTG/m6FTSJesCXSHbCT8QLkPYwYiSxcL7saYezw6sZP7EVV4nwQQaFY4KpAXylNBZWLAKVx2+2W8X5Q==" saltValue="+HIvRyysBv0QMdluNpzT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SEPULVEDA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-1</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0.3235294117647059</v>
      </c>
      <c r="I12" s="353">
        <f>IF(ISNUMBER((Tasas!C12-Datos!BE12)/Datos!BE12),(Tasas!C12-Datos!BE12)/Datos!BE12," - ")</f>
        <v>0.35207896575821102</v>
      </c>
      <c r="J12" s="352">
        <f>IF(ISNUMBER((Tasas!D12-Datos!BF12)/Datos!BF12),(Tasas!D12-Datos!BF12)/Datos!BF12," - ")</f>
        <v>-0.25769230769230766</v>
      </c>
      <c r="K12" s="354">
        <f>IF(ISNUMBER((Tasas!E12-Datos!BG12)/Datos!BG12),(Tasas!E12-Datos!BG12)/Datos!BG12," - ")</f>
        <v>0.21910197869101977</v>
      </c>
      <c r="M12" t="e">
        <f>IF(Monitorios="SI",Datos!CE12,0)</f>
        <v>#REF!</v>
      </c>
      <c r="N12" t="e">
        <f>IF(Monitorios="SI",Datos!CF12,0)</f>
        <v>#REF!</v>
      </c>
      <c r="O12" t="e">
        <f>IF(Monitorios="SI",Datos!CG12,0)</f>
        <v>#REF!</v>
      </c>
      <c r="P12" t="e">
        <f>IF(Monitorios="SI",Datos!CH12,0)</f>
        <v>#REF!</v>
      </c>
      <c r="Q12">
        <f>IF(J_V="SI",0,Datos!AG12)</f>
        <v>9</v>
      </c>
      <c r="R12">
        <f>IF(J_V="SI",0,Datos!AH12)</f>
        <v>9</v>
      </c>
      <c r="S12">
        <f>IF(J_V="SI",0,Datos!AI12)</f>
        <v>10</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0.3235294117647059</v>
      </c>
      <c r="I13" s="360">
        <f>IF(ISNUMBER((Tasas!C13-Datos!BE13)/Datos!BE13),(Tasas!C13-Datos!BE13)/Datos!BE13," - ")</f>
        <v>0.33391632373113855</v>
      </c>
      <c r="J13" s="358">
        <f>IF(ISNUMBER((Tasas!D13-Datos!BF13)/Datos!BF13),(Tasas!D13-Datos!BF13)/Datos!BF13," - ")</f>
        <v>-0.25384615384615378</v>
      </c>
      <c r="K13" s="361">
        <f>IF(ISNUMBER((Tasas!E13-Datos!BG13)/Datos!BG13),(Tasas!E13-Datos!BG13)/Datos!BG13," - ")</f>
        <v>0.20885885885885896</v>
      </c>
      <c r="M13" t="e">
        <f>IF(Monitorios="SI",Datos!CE13,0)</f>
        <v>#REF!</v>
      </c>
      <c r="N13" t="e">
        <f>IF(Monitorios="SI",Datos!CF13,0)</f>
        <v>#REF!</v>
      </c>
      <c r="O13" t="e">
        <f>IF(Monitorios="SI",Datos!CG13,0)</f>
        <v>#REF!</v>
      </c>
      <c r="P13" t="e">
        <f>IF(Monitorios="SI",Datos!CH13,0)</f>
        <v>#REF!</v>
      </c>
      <c r="Q13">
        <f>IF(J_V="SI",0,Datos!AG13)</f>
        <v>9</v>
      </c>
      <c r="R13">
        <f>IF(J_V="SI",0,Datos!AH13)</f>
        <v>9</v>
      </c>
      <c r="S13">
        <f>IF(J_V="SI",0,Datos!AI13)</f>
        <v>10</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-0.16300940438871472</v>
      </c>
      <c r="E16" s="351">
        <f>IF(ISNUMBER(
   IF(D_I="SI",(Datos!J16-Datos!T16)/Datos!T16,(Datos!J16+Datos!AD16-(Datos!T16+Datos!AL16))/(Datos!T16+Datos!AL16))
     ),IF(D_I="SI",(Datos!J16-Datos!T16)/Datos!T16,(Datos!J16+Datos!AD16-(Datos!T16+Datos!AL16))/(Datos!T16+Datos!AL16))," - ")</f>
        <v>0.15231788079470199</v>
      </c>
      <c r="F16" s="351">
        <f>IF(ISNUMBER(
   IF(D_I="SI",(Datos!K16-Datos!U16)/Datos!U16,(Datos!K16+Datos!AE16-(Datos!U16+Datos!AM16))/(Datos!U16+Datos!AM16))
     ),IF(D_I="SI",(Datos!K16-Datos!U16)/Datos!U16,(Datos!K16+Datos!AE16-(Datos!U16+Datos!AM16))/(Datos!U16+Datos!AM16))," - ")</f>
        <v>0.21333333333333335</v>
      </c>
      <c r="G16" s="352">
        <f>IF(ISNUMBER(
   IF(D_I="SI",(Datos!L16-Datos!V16)/Datos!V16,(Datos!L16+Datos!AF16-(Datos!V16+Datos!AN16))/(Datos!V16+Datos!AN16))
     ),IF(D_I="SI",(Datos!L16-Datos!V16)/Datos!V16,(Datos!L16+Datos!AF16-(Datos!V16+Datos!AN16))/(Datos!V16+Datos!AN16))," - ")</f>
        <v>-0.15937499999999999</v>
      </c>
      <c r="H16" s="233">
        <f>IF(ISNUMBER((Datos!M16-Datos!W16)/Datos!W16),(Datos!M16-Datos!W16)/Datos!W16," - ")</f>
        <v>0.4</v>
      </c>
      <c r="I16" s="353">
        <f>IF(ISNUMBER((Tasas!C16-Datos!BE16)/Datos!BE16),(Tasas!C16-Datos!BE16)/Datos!BE16," - ")</f>
        <v>-0.30717719780219777</v>
      </c>
      <c r="J16" s="352">
        <f>IF(ISNUMBER((Tasas!D16-Datos!BF16)/Datos!BF16),(Tasas!D16-Datos!BF16)/Datos!BF16," - ")</f>
        <v>0.15384615384615385</v>
      </c>
      <c r="K16" s="354">
        <f>IF(ISNUMBER((Tasas!E16-Datos!BG16)/Datos!BG16),(Tasas!E16-Datos!BG16)/Datos!BG16," - ")</f>
        <v>-0.22667757774140757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-0.625</v>
      </c>
      <c r="F17" s="351">
        <f>IF(ISNUMBER(
   IF(D_I="SI",(Datos!K17-Datos!U17)/Datos!U17,(Datos!K17+Datos!AE17-(Datos!U17+Datos!AM17))/(Datos!U17+Datos!AM17))
     ),IF(D_I="SI",(Datos!K17-Datos!U17)/Datos!U17,(Datos!K17+Datos!AE17-(Datos!U17+Datos!AM17))/(Datos!U17+Datos!AM17))," - ")</f>
        <v>-0.625</v>
      </c>
      <c r="G17" s="352">
        <f>IF(ISNUMBER(
   IF(D_I="SI",(Datos!L17-Datos!V17)/Datos!V17,(Datos!L17+Datos!AF17-(Datos!V17+Datos!AN17))/(Datos!V17+Datos!AN17))
     ),IF(D_I="SI",(Datos!L17-Datos!V17)/Datos!V17,(Datos!L17+Datos!AF17-(Datos!V17+Datos!AN17))/(Datos!V17+Datos!AN17))," - ")</f>
        <v>0</v>
      </c>
      <c r="H17" s="233">
        <f>IF(ISNUMBER((Datos!M17-Datos!W17)/Datos!W17),(Datos!M17-Datos!W17)/Datos!W17," - ")</f>
        <v>-1</v>
      </c>
      <c r="I17" s="353">
        <f>IF(ISNUMBER((Tasas!C17-Datos!BE17)/Datos!BE17),(Tasas!C17-Datos!BE17)/Datos!BE17," - ")</f>
        <v>1.6666666666666667</v>
      </c>
      <c r="J17" s="352">
        <f>IF(ISNUMBER((Tasas!D17-Datos!BF17)/Datos!BF17),(Tasas!D17-Datos!BF17)/Datos!BF17," - ")</f>
        <v>-1</v>
      </c>
      <c r="K17" s="354">
        <f>IF(ISNUMBER((Tasas!E17-Datos!BG17)/Datos!BG17),(Tasas!E17-Datos!BG17)/Datos!BG17," - ")</f>
        <v>0.7777777777777779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-0.15950920245398773</v>
      </c>
      <c r="E18" s="357">
        <f>IF(ISNUMBER(
   IF(D_I="SI",(Datos!J18-Datos!T18)/Datos!T18,(Datos!J18+Datos!AD18-(Datos!T18+Datos!AL18))/(Datos!T18+Datos!AL18))
     ),IF(D_I="SI",(Datos!J18-Datos!T18)/Datos!T18,(Datos!J18+Datos!AD18-(Datos!T18+Datos!AL18))/(Datos!T18+Datos!AL18))," - ")</f>
        <v>0.11320754716981132</v>
      </c>
      <c r="F18" s="357">
        <f>IF(ISNUMBER(
   IF(D_I="SI",(Datos!K18-Datos!U18)/Datos!U18,(Datos!K18+Datos!AE18-(Datos!U18+Datos!AM18))/(Datos!U18+Datos!AM18))
     ),IF(D_I="SI",(Datos!K18-Datos!U18)/Datos!U18,(Datos!K18+Datos!AE18-(Datos!U18+Datos!AM18))/(Datos!U18+Datos!AM18))," - ")</f>
        <v>0.17088607594936708</v>
      </c>
      <c r="G18" s="358">
        <f>IF(ISNUMBER(
   IF(D_I="SI",(Datos!L18-Datos!V18)/Datos!V18,(Datos!L18+Datos!AF18-(Datos!V18+Datos!AN18))/(Datos!V18+Datos!AN18))
     ),IF(D_I="SI",(Datos!L18-Datos!V18)/Datos!V18,(Datos!L18+Datos!AF18-(Datos!V18+Datos!AN18))/(Datos!V18+Datos!AN18))," - ")</f>
        <v>-0.15596330275229359</v>
      </c>
      <c r="H18" s="359">
        <f>IF(ISNUMBER((Datos!M18-Datos!W18)/Datos!W18),(Datos!M18-Datos!W18)/Datos!W18," - ")</f>
        <v>0.3125</v>
      </c>
      <c r="I18" s="360">
        <f>IF(ISNUMBER((Tasas!C18-Datos!BE18)/Datos!BE18),(Tasas!C18-Datos!BE18)/Datos!BE18," - ")</f>
        <v>-0.27914703694520204</v>
      </c>
      <c r="J18" s="358">
        <f>IF(ISNUMBER((Tasas!D18-Datos!BF18)/Datos!BF18),(Tasas!D18-Datos!BF18)/Datos!BF18," - ")</f>
        <v>0.12094594594594603</v>
      </c>
      <c r="K18" s="361">
        <f>IF(ISNUMBER((Tasas!E18-Datos!BG18)/Datos!BG18),(Tasas!E18-Datos!BG18)/Datos!BG18," - ")</f>
        <v>-0.20581777653942601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-7.7586206896551727E-2</v>
      </c>
      <c r="E19" s="366">
        <f>IF(ISNUMBER(
   IF(J_V="SI",(Datos!J19-Datos!T19)/Datos!T19,(Datos!J19+Datos!Z19-(Datos!T19+Datos!AH19))/(Datos!T19+Datos!AH19))
     ),IF(J_V="SI",(Datos!J19-Datos!T19)/Datos!T19,(Datos!J19+Datos!Z19-(Datos!T19+Datos!AH19))/(Datos!T19+Datos!AH19))," - ")</f>
        <v>0.27035830618892509</v>
      </c>
      <c r="F19" s="366">
        <f>IF(ISNUMBER(
   IF(J_V="SI",(Datos!K19-Datos!U19)/Datos!U19,(Datos!K19+Datos!AA19-(Datos!U19+Datos!AI19))/(Datos!U19+Datos!AI19))
     ),IF(J_V="SI",(Datos!K19-Datos!U19)/Datos!U19,(Datos!K19+Datos!AA19-(Datos!U19+Datos!AI19))/(Datos!U19+Datos!AI19))," - ")</f>
        <v>3.6931818181818184E-2</v>
      </c>
      <c r="G19" s="367">
        <f>IF(ISNUMBER(
   IF(J_V="SI",(Datos!L19-Datos!V19)/Datos!V19,(Datos!L19+Datos!AB19-(Datos!V19+Datos!AJ19))/(Datos!V19+Datos!AJ19))
     ),IF(J_V="SI",(Datos!L19-Datos!V19)/Datos!V19,(Datos!L19+Datos!AB19-(Datos!V19+Datos!AJ19))/(Datos!V19+Datos!AJ19))," - ")</f>
        <v>3.9938556067588324E-2</v>
      </c>
      <c r="H19" s="368">
        <f>IF(ISNUMBER((Datos!M19-Datos!W19)/Datos!W19),(Datos!M19-Datos!W19)/Datos!W19," - ")</f>
        <v>0.31818181818181818</v>
      </c>
      <c r="I19" s="365">
        <f>IF(ISNUMBER((Tasas!C19-Datos!BE19)/Datos!BE19),(Tasas!C19-Datos!BE19)/Datos!BE19," - ")</f>
        <v>2.8996485912085226E-3</v>
      </c>
      <c r="J19" s="366">
        <f>IF(ISNUMBER((Tasas!D19-Datos!BF19)/Datos!BF19),(Tasas!D19-Datos!BF19)/Datos!BF19," - ")</f>
        <v>-0.13503742409264233</v>
      </c>
      <c r="K19" s="367">
        <f>IF(ISNUMBER((Tasas!E19-Datos!BG19)/Datos!BG19),(Tasas!E19-Datos!BG19)/Datos!BG19," - ")</f>
        <v>-7.732965487100423E-3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0.4526777312928702</v>
      </c>
      <c r="E21" s="281">
        <f t="shared" si="1"/>
        <v>0.56703877220263832</v>
      </c>
      <c r="F21" s="281">
        <f t="shared" si="1"/>
        <v>0.60012610993837268</v>
      </c>
      <c r="G21" s="282">
        <f t="shared" si="1"/>
        <v>0.45357697977983202</v>
      </c>
      <c r="H21" s="288">
        <f t="shared" si="1"/>
        <v>0.60023793220648392</v>
      </c>
      <c r="I21" s="280">
        <f t="shared" si="1"/>
        <v>0.80023880764306354</v>
      </c>
      <c r="J21" s="281">
        <f t="shared" si="1"/>
        <v>0.46455124676985687</v>
      </c>
      <c r="K21" s="282">
        <f t="shared" si="1"/>
        <v>0.40949011735161672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Tl1gsloGQpJ9X6FCH1tyb+UUDEduBAVmx6Ddl4gmiB1Omxy/VxYM8eHvi0wlLYLe4BmwNuW6wb5OTL4ZwNoWg==" saltValue="Trn2ZC1N3yCh64vco2Db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